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4"/>
  <workbookPr defaultThemeVersion="166925"/>
  <mc:AlternateContent xmlns:mc="http://schemas.openxmlformats.org/markup-compatibility/2006">
    <mc:Choice Requires="x15">
      <x15ac:absPath xmlns:x15ac="http://schemas.microsoft.com/office/spreadsheetml/2010/11/ac" url="/Users/allysonperez/Downloads/"/>
    </mc:Choice>
  </mc:AlternateContent>
  <xr:revisionPtr revIDLastSave="0" documentId="13_ncr:1_{2C5CEBB4-0C04-6B49-9D2F-2E3BC7931564}" xr6:coauthVersionLast="45" xr6:coauthVersionMax="45" xr10:uidLastSave="{00000000-0000-0000-0000-000000000000}"/>
  <bookViews>
    <workbookView xWindow="720" yWindow="460" windowWidth="18660" windowHeight="15720" tabRatio="925" activeTab="2" xr2:uid="{C19B8DFE-3B2E-4350-8FF7-27F8255EC3B9}"/>
  </bookViews>
  <sheets>
    <sheet name="FEDERAL RATES (HIDDEN)" sheetId="6" state="hidden" r:id="rId1"/>
    <sheet name="REIMBURSEMENT RATE OLD" sheetId="5" state="hidden" r:id="rId2"/>
    <sheet name="LANDING PAGE" sheetId="29" r:id="rId3"/>
    <sheet name="INSTRUCTIONS" sheetId="27" r:id="rId4"/>
    <sheet name="REIMBURSEMENTS AND REVENUES" sheetId="13" r:id="rId5"/>
    <sheet name="test" sheetId="30" state="hidden" r:id="rId6"/>
    <sheet name="ENROLLMENT" sheetId="16" r:id="rId7"/>
    <sheet name="PARTICIPATION RATES" sheetId="23" r:id="rId8"/>
    <sheet name="FOOD &amp; MATERIALS EXPENSE" sheetId="19" r:id="rId9"/>
    <sheet name="ADMIN LABOR ASSUMPTIONS" sheetId="25" r:id="rId10"/>
    <sheet name="DIRECT LABOR ASSUMPTIONS" sheetId="24" r:id="rId11"/>
    <sheet name="MPLH COMPS" sheetId="3" state="hidden" r:id="rId12"/>
    <sheet name="OTHER EXPENSES" sheetId="20" r:id="rId13"/>
    <sheet name="DETAILED COMPARATIVE P&amp;L" sheetId="12" r:id="rId14"/>
    <sheet name="CHARTS" sheetId="26" r:id="rId15"/>
    <sheet name="LIST" sheetId="28" state="hidden" r:id="rId16"/>
  </sheets>
  <definedNames>
    <definedName name="_xlnm.Print_Area" localSheetId="7">'PARTICIPATION RATES'!$A$1:$V$22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3" i="25" l="1"/>
  <c r="E23" i="25"/>
  <c r="Q5" i="16" l="1"/>
  <c r="Q4" i="16"/>
  <c r="Q3" i="16"/>
  <c r="O5" i="16"/>
  <c r="O4" i="16"/>
  <c r="O3" i="16"/>
  <c r="L19" i="16"/>
  <c r="K18" i="16"/>
  <c r="I18" i="16"/>
  <c r="L8" i="16"/>
  <c r="K7" i="16"/>
  <c r="I7" i="16"/>
  <c r="F19" i="16"/>
  <c r="E18" i="16"/>
  <c r="E21" i="16" s="1"/>
  <c r="C18" i="16"/>
  <c r="F8" i="16"/>
  <c r="L18" i="16" l="1"/>
  <c r="L21" i="16" s="1"/>
  <c r="L7" i="16"/>
  <c r="L10" i="16" s="1"/>
  <c r="K19" i="16"/>
  <c r="F18" i="16"/>
  <c r="F21" i="16" s="1"/>
  <c r="K20" i="16"/>
  <c r="K21" i="16"/>
  <c r="I21" i="16"/>
  <c r="I19" i="16"/>
  <c r="I20" i="16"/>
  <c r="C20" i="16"/>
  <c r="C19" i="16"/>
  <c r="E19" i="16"/>
  <c r="E20" i="16"/>
  <c r="C21" i="16"/>
  <c r="E92" i="12"/>
  <c r="F91" i="12"/>
  <c r="E91" i="12"/>
  <c r="F90" i="12"/>
  <c r="E90" i="12"/>
  <c r="F89" i="12"/>
  <c r="E89" i="12"/>
  <c r="F88" i="12"/>
  <c r="F92" i="12" s="1"/>
  <c r="E88" i="12"/>
  <c r="F87" i="12"/>
  <c r="E87" i="12"/>
  <c r="F86" i="12"/>
  <c r="E86" i="12"/>
  <c r="C91" i="12"/>
  <c r="C90" i="12"/>
  <c r="C87" i="12"/>
  <c r="C88" i="12"/>
  <c r="C89" i="12"/>
  <c r="I18" i="24"/>
  <c r="I19" i="24" s="1"/>
  <c r="L18" i="24"/>
  <c r="L19" i="24" s="1"/>
  <c r="K18" i="24"/>
  <c r="K19" i="24" s="1"/>
  <c r="F18" i="24"/>
  <c r="F19" i="24" s="1"/>
  <c r="E18" i="24"/>
  <c r="E19" i="24" s="1"/>
  <c r="C18" i="24"/>
  <c r="C19" i="24" s="1"/>
  <c r="K9" i="24"/>
  <c r="K10" i="24" s="1"/>
  <c r="I9" i="24"/>
  <c r="I10" i="24" s="1"/>
  <c r="L9" i="24"/>
  <c r="L10" i="24" s="1"/>
  <c r="F9" i="24"/>
  <c r="F10" i="24" s="1"/>
  <c r="E9" i="24"/>
  <c r="E10" i="24" s="1"/>
  <c r="C9" i="24"/>
  <c r="C10" i="24" s="1"/>
  <c r="L15" i="24"/>
  <c r="K15" i="24"/>
  <c r="B6" i="26"/>
  <c r="B5" i="26"/>
  <c r="B4" i="26"/>
  <c r="B3" i="26"/>
  <c r="F15" i="16" l="1"/>
  <c r="F17" i="16" s="1"/>
  <c r="L15" i="16"/>
  <c r="L17" i="16" s="1"/>
  <c r="L4" i="16"/>
  <c r="L6" i="16" s="1"/>
  <c r="O8" i="24"/>
  <c r="R4" i="24"/>
  <c r="Q4" i="24"/>
  <c r="O4" i="24"/>
  <c r="C80" i="12" l="1"/>
  <c r="F21" i="25"/>
  <c r="F79" i="12" s="1"/>
  <c r="E21" i="25"/>
  <c r="E79" i="12" s="1"/>
  <c r="C21" i="25"/>
  <c r="C79" i="12" s="1"/>
  <c r="F16" i="25"/>
  <c r="E16" i="25"/>
  <c r="C16" i="25"/>
  <c r="F11" i="25"/>
  <c r="E11" i="25"/>
  <c r="C11" i="25"/>
  <c r="F6" i="25"/>
  <c r="E6" i="25"/>
  <c r="E76" i="12" s="1"/>
  <c r="C6" i="25"/>
  <c r="B79" i="12"/>
  <c r="B72" i="12"/>
  <c r="B65" i="12"/>
  <c r="B78" i="12"/>
  <c r="B71" i="12"/>
  <c r="B64" i="12"/>
  <c r="B77" i="12"/>
  <c r="B70" i="12"/>
  <c r="B63" i="12"/>
  <c r="B76" i="12"/>
  <c r="B69" i="12"/>
  <c r="B62" i="12"/>
  <c r="B53" i="12"/>
  <c r="B47" i="12"/>
  <c r="B41" i="12"/>
  <c r="B49" i="12"/>
  <c r="B43" i="12"/>
  <c r="B37" i="12"/>
  <c r="B35" i="12"/>
  <c r="B31" i="12"/>
  <c r="B28" i="12"/>
  <c r="B23" i="12"/>
  <c r="B21" i="12"/>
  <c r="B14" i="12"/>
  <c r="B7" i="12"/>
  <c r="B16" i="12"/>
  <c r="B9" i="12"/>
  <c r="B2" i="12"/>
  <c r="B17" i="25"/>
  <c r="B12" i="25"/>
  <c r="B7" i="25"/>
  <c r="B2" i="25"/>
  <c r="H12" i="24"/>
  <c r="H3" i="24"/>
  <c r="B12" i="24"/>
  <c r="B3" i="24"/>
  <c r="G14" i="19"/>
  <c r="G16" i="19"/>
  <c r="G15" i="19"/>
  <c r="G13" i="19"/>
  <c r="I12" i="23"/>
  <c r="C12" i="23"/>
  <c r="I2" i="23"/>
  <c r="C2" i="23"/>
  <c r="C72" i="12"/>
  <c r="M15" i="23"/>
  <c r="F72" i="12"/>
  <c r="E72" i="12"/>
  <c r="M19" i="23"/>
  <c r="M18" i="23"/>
  <c r="M17" i="23"/>
  <c r="M16" i="23"/>
  <c r="L14" i="23" l="1"/>
  <c r="E51" i="12" s="1"/>
  <c r="J14" i="23"/>
  <c r="M14" i="23" l="1"/>
  <c r="E50" i="12"/>
  <c r="E52" i="12"/>
  <c r="C50" i="12"/>
  <c r="C51" i="12"/>
  <c r="C52" i="12"/>
  <c r="H16" i="19"/>
  <c r="C65" i="12" s="1"/>
  <c r="E14" i="19"/>
  <c r="E13" i="19"/>
  <c r="F52" i="12" l="1"/>
  <c r="C86" i="12"/>
  <c r="C92" i="12" s="1"/>
  <c r="D94" i="12"/>
  <c r="D98" i="12" s="1"/>
  <c r="C14" i="20"/>
  <c r="E17" i="19"/>
  <c r="E16" i="19"/>
  <c r="E15" i="19"/>
  <c r="E7" i="19"/>
  <c r="E5" i="19"/>
  <c r="E71" i="12"/>
  <c r="C71" i="12"/>
  <c r="F71" i="12"/>
  <c r="C70" i="12"/>
  <c r="E70" i="12"/>
  <c r="F70" i="12"/>
  <c r="G19" i="23"/>
  <c r="G18" i="23"/>
  <c r="G17" i="23"/>
  <c r="G16" i="23"/>
  <c r="G15" i="23"/>
  <c r="M9" i="23"/>
  <c r="M8" i="23"/>
  <c r="M7" i="23"/>
  <c r="M6" i="23"/>
  <c r="M5" i="23"/>
  <c r="J4" i="23"/>
  <c r="E7" i="16"/>
  <c r="K10" i="16" l="1"/>
  <c r="K8" i="16"/>
  <c r="K9" i="16"/>
  <c r="Q6" i="16"/>
  <c r="F69" i="12"/>
  <c r="F73" i="12" s="1"/>
  <c r="R8" i="24"/>
  <c r="R7" i="24" s="1"/>
  <c r="E69" i="12"/>
  <c r="E73" i="12" s="1"/>
  <c r="Q8" i="24"/>
  <c r="Q7" i="24" s="1"/>
  <c r="C69" i="12"/>
  <c r="C73" i="12" s="1"/>
  <c r="C10" i="26" s="1"/>
  <c r="O7" i="24"/>
  <c r="F4" i="23"/>
  <c r="E9" i="16"/>
  <c r="C12" i="26"/>
  <c r="C38" i="12"/>
  <c r="C39" i="12"/>
  <c r="C40" i="12"/>
  <c r="L4" i="23"/>
  <c r="D14" i="23"/>
  <c r="F14" i="23"/>
  <c r="H14" i="19"/>
  <c r="C63" i="12" s="1"/>
  <c r="E14" i="20"/>
  <c r="E6" i="19"/>
  <c r="K16" i="19" s="1"/>
  <c r="F65" i="12" s="1"/>
  <c r="H13" i="13"/>
  <c r="J13" i="13" s="1"/>
  <c r="H14" i="13"/>
  <c r="J14" i="13" s="1"/>
  <c r="H15" i="13"/>
  <c r="J15" i="13" s="1"/>
  <c r="H8" i="13"/>
  <c r="J8" i="13" s="1"/>
  <c r="H7" i="13"/>
  <c r="J7" i="13" s="1"/>
  <c r="H6" i="13"/>
  <c r="J6" i="13" s="1"/>
  <c r="C16" i="13"/>
  <c r="C15" i="13"/>
  <c r="C14" i="13"/>
  <c r="C8" i="13"/>
  <c r="C7" i="13"/>
  <c r="C6" i="13"/>
  <c r="J16" i="19" l="1"/>
  <c r="E65" i="12" s="1"/>
  <c r="E25" i="12"/>
  <c r="C25" i="12"/>
  <c r="F25" i="12"/>
  <c r="E27" i="12"/>
  <c r="C27" i="12"/>
  <c r="F27" i="12"/>
  <c r="E53" i="12"/>
  <c r="J15" i="19"/>
  <c r="E64" i="12" s="1"/>
  <c r="H15" i="19"/>
  <c r="C64" i="12" s="1"/>
  <c r="D12" i="26"/>
  <c r="J8" i="19"/>
  <c r="J5" i="19"/>
  <c r="J7" i="19"/>
  <c r="J6" i="19"/>
  <c r="J4" i="19"/>
  <c r="J13" i="19"/>
  <c r="E62" i="12" s="1"/>
  <c r="R4" i="23"/>
  <c r="C11" i="12"/>
  <c r="C13" i="12"/>
  <c r="E32" i="12"/>
  <c r="E6" i="12"/>
  <c r="E4" i="12"/>
  <c r="E34" i="12"/>
  <c r="E33" i="12"/>
  <c r="M4" i="23"/>
  <c r="Q7" i="16"/>
  <c r="Q8" i="16"/>
  <c r="D10" i="26"/>
  <c r="Q9" i="16"/>
  <c r="C41" i="12"/>
  <c r="E45" i="12"/>
  <c r="E44" i="12"/>
  <c r="E46" i="12"/>
  <c r="C46" i="12"/>
  <c r="C45" i="12"/>
  <c r="C44" i="12"/>
  <c r="E40" i="12"/>
  <c r="E38" i="12"/>
  <c r="E13" i="12"/>
  <c r="E39" i="12"/>
  <c r="E11" i="12"/>
  <c r="E20" i="12"/>
  <c r="E18" i="12"/>
  <c r="C18" i="12"/>
  <c r="C20" i="12"/>
  <c r="J14" i="19"/>
  <c r="E63" i="12" s="1"/>
  <c r="F14" i="20"/>
  <c r="E8" i="16"/>
  <c r="E10" i="16"/>
  <c r="G14" i="23" l="1"/>
  <c r="F46" i="12" s="1"/>
  <c r="C53" i="12"/>
  <c r="F11" i="12"/>
  <c r="R3" i="23"/>
  <c r="R9" i="23"/>
  <c r="R7" i="23"/>
  <c r="R8" i="23"/>
  <c r="R6" i="23"/>
  <c r="R5" i="23"/>
  <c r="E35" i="12"/>
  <c r="F40" i="12"/>
  <c r="K14" i="19"/>
  <c r="F63" i="12" s="1"/>
  <c r="F13" i="12"/>
  <c r="E66" i="12"/>
  <c r="C47" i="12"/>
  <c r="E41" i="12"/>
  <c r="E47" i="12"/>
  <c r="J17" i="19"/>
  <c r="J9" i="19"/>
  <c r="E15" i="13"/>
  <c r="E16" i="13"/>
  <c r="E14" i="13"/>
  <c r="M10" i="23" s="1"/>
  <c r="E7" i="13"/>
  <c r="E6" i="13"/>
  <c r="E8" i="13"/>
  <c r="C11" i="5"/>
  <c r="E11" i="5" s="1"/>
  <c r="F20" i="12" l="1"/>
  <c r="G20" i="23"/>
  <c r="L16" i="24" s="1"/>
  <c r="F18" i="12"/>
  <c r="K15" i="19"/>
  <c r="F64" i="12" s="1"/>
  <c r="E24" i="12"/>
  <c r="F24" i="12"/>
  <c r="C24" i="12"/>
  <c r="L20" i="23"/>
  <c r="E26" i="12"/>
  <c r="C26" i="12"/>
  <c r="F26" i="12"/>
  <c r="J20" i="23"/>
  <c r="I15" i="24" s="1"/>
  <c r="M20" i="23"/>
  <c r="J10" i="23"/>
  <c r="F20" i="23"/>
  <c r="D20" i="23"/>
  <c r="L10" i="23"/>
  <c r="F10" i="23"/>
  <c r="F53" i="12"/>
  <c r="C19" i="12"/>
  <c r="C12" i="12"/>
  <c r="F41" i="12"/>
  <c r="F17" i="12"/>
  <c r="C10" i="12"/>
  <c r="C17" i="12"/>
  <c r="E3" i="12"/>
  <c r="E10" i="12"/>
  <c r="F10" i="12"/>
  <c r="E17" i="12"/>
  <c r="E5" i="12"/>
  <c r="E19" i="12"/>
  <c r="F12" i="12"/>
  <c r="E12" i="12"/>
  <c r="F19" i="12"/>
  <c r="F47" i="12"/>
  <c r="L6" i="24"/>
  <c r="L7" i="24" l="1"/>
  <c r="K16" i="24"/>
  <c r="K7" i="24"/>
  <c r="I7" i="24"/>
  <c r="I6" i="24"/>
  <c r="E6" i="24"/>
  <c r="R10" i="23"/>
  <c r="C28" i="12"/>
  <c r="C6" i="26" s="1"/>
  <c r="F28" i="12"/>
  <c r="E28" i="12"/>
  <c r="I16" i="24"/>
  <c r="C21" i="12"/>
  <c r="C5" i="26" s="1"/>
  <c r="C14" i="12"/>
  <c r="C4" i="26" s="1"/>
  <c r="F21" i="12"/>
  <c r="E14" i="12"/>
  <c r="E21" i="12"/>
  <c r="E7" i="12"/>
  <c r="F14" i="12"/>
  <c r="E15" i="24"/>
  <c r="E16" i="24"/>
  <c r="F15" i="24"/>
  <c r="F16" i="24"/>
  <c r="C15" i="24"/>
  <c r="C16" i="24"/>
  <c r="K6" i="24"/>
  <c r="E7" i="24"/>
  <c r="D6" i="26" l="1"/>
  <c r="E57" i="12"/>
  <c r="D5" i="26"/>
  <c r="D4" i="26"/>
  <c r="Q5" i="24"/>
  <c r="Q6" i="24"/>
  <c r="C12" i="5" l="1"/>
  <c r="E12" i="5" s="1"/>
  <c r="C5" i="5" l="1"/>
  <c r="E5" i="5" s="1"/>
  <c r="C4" i="5" l="1"/>
  <c r="E4" i="5" s="1"/>
  <c r="C7" i="16" l="1"/>
  <c r="F7" i="16" l="1"/>
  <c r="I8" i="16"/>
  <c r="I10" i="16"/>
  <c r="O6" i="16"/>
  <c r="O7" i="16" s="1"/>
  <c r="I9" i="16"/>
  <c r="D4" i="23"/>
  <c r="C8" i="16"/>
  <c r="C10" i="16"/>
  <c r="C9" i="16"/>
  <c r="R6" i="16" l="1"/>
  <c r="F4" i="16"/>
  <c r="R3" i="16" s="1"/>
  <c r="O9" i="16"/>
  <c r="O8" i="16"/>
  <c r="H8" i="19"/>
  <c r="H7" i="19"/>
  <c r="H5" i="19"/>
  <c r="H6" i="19"/>
  <c r="H4" i="19"/>
  <c r="D10" i="23"/>
  <c r="P4" i="23"/>
  <c r="C5" i="12"/>
  <c r="C3" i="12"/>
  <c r="F76" i="12"/>
  <c r="C77" i="12"/>
  <c r="F78" i="12"/>
  <c r="F77" i="12"/>
  <c r="E78" i="12"/>
  <c r="C78" i="12"/>
  <c r="E77" i="12"/>
  <c r="C76" i="12"/>
  <c r="C32" i="12"/>
  <c r="C6" i="12"/>
  <c r="C34" i="12"/>
  <c r="C33" i="12"/>
  <c r="C4" i="12"/>
  <c r="H13" i="19"/>
  <c r="F6" i="16" l="1"/>
  <c r="R5" i="16" s="1"/>
  <c r="P10" i="23"/>
  <c r="O5" i="24" s="1"/>
  <c r="C6" i="24"/>
  <c r="C81" i="12"/>
  <c r="C82" i="12"/>
  <c r="P9" i="23"/>
  <c r="P5" i="23"/>
  <c r="P7" i="23"/>
  <c r="P8" i="23"/>
  <c r="P3" i="23"/>
  <c r="P6" i="23"/>
  <c r="C7" i="24"/>
  <c r="H17" i="19"/>
  <c r="C62" i="12"/>
  <c r="C66" i="12" s="1"/>
  <c r="C35" i="12"/>
  <c r="C7" i="12"/>
  <c r="H9" i="19"/>
  <c r="C83" i="12" l="1"/>
  <c r="C11" i="26" s="1"/>
  <c r="C95" i="12"/>
  <c r="C58" i="12"/>
  <c r="C9" i="26"/>
  <c r="C3" i="26"/>
  <c r="O6" i="24"/>
  <c r="F6" i="24" l="1"/>
  <c r="C98" i="12"/>
  <c r="C15" i="26" s="1"/>
  <c r="F10" i="16" l="1"/>
  <c r="G4" i="23"/>
  <c r="K5" i="19" s="1"/>
  <c r="R7" i="16" l="1"/>
  <c r="K13" i="19"/>
  <c r="K6" i="19"/>
  <c r="F3" i="12"/>
  <c r="R9" i="16"/>
  <c r="K8" i="19"/>
  <c r="S4" i="23"/>
  <c r="F80" i="12"/>
  <c r="F5" i="12"/>
  <c r="F6" i="12"/>
  <c r="G10" i="23"/>
  <c r="F4" i="12"/>
  <c r="E80" i="12"/>
  <c r="K7" i="19"/>
  <c r="F34" i="12"/>
  <c r="F35" i="12" s="1"/>
  <c r="K4" i="19"/>
  <c r="K9" i="19" l="1"/>
  <c r="F81" i="12"/>
  <c r="F82" i="12"/>
  <c r="S9" i="23"/>
  <c r="S5" i="23"/>
  <c r="S6" i="23"/>
  <c r="S3" i="23"/>
  <c r="S7" i="23"/>
  <c r="S8" i="23"/>
  <c r="F7" i="12"/>
  <c r="F7" i="24"/>
  <c r="S10" i="23"/>
  <c r="F62" i="12"/>
  <c r="F66" i="12" s="1"/>
  <c r="K17" i="19"/>
  <c r="E82" i="12"/>
  <c r="E81" i="12"/>
  <c r="E83" i="12" l="1"/>
  <c r="E94" i="12" s="1"/>
  <c r="F83" i="12"/>
  <c r="D9" i="26"/>
  <c r="R6" i="24"/>
  <c r="R5" i="24"/>
  <c r="F57" i="12"/>
  <c r="D3" i="26"/>
  <c r="D11" i="26" l="1"/>
  <c r="F94" i="12"/>
  <c r="E95" i="12" s="1"/>
  <c r="E58" i="12"/>
  <c r="E97" i="12"/>
  <c r="F97" i="12" l="1"/>
  <c r="E98" i="12" s="1"/>
  <c r="D15" i="2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Scott Richardson</author>
  </authors>
  <commentList>
    <comment ref="E4" authorId="0" shapeId="0" xr:uid="{D19BD4FC-F270-4DDA-BF70-55B557942B28}">
      <text>
        <r>
          <rPr>
            <b/>
            <sz val="9"/>
            <color indexed="81"/>
            <rFont val="Tahoma"/>
            <family val="2"/>
          </rPr>
          <t>CONSIDER IMPACT OF INCREASED PARTICIPATION ON FOOD PURCHASE AND COST PER MEAL</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Scott Richardson</author>
  </authors>
  <commentList>
    <comment ref="B4" authorId="0" shapeId="0" xr:uid="{5A41D826-878A-434C-A11F-564E29588CDC}">
      <text>
        <r>
          <rPr>
            <b/>
            <sz val="9"/>
            <color indexed="81"/>
            <rFont val="Tahoma"/>
            <family val="2"/>
          </rPr>
          <t>* Meal equivalents (MEQ) include breakfast, snacks and a la carte sales. Lunch 1:1, Breakfast 3:2, Snack 3:1, A la carte MEQ = sales revenue divided by the amount of free lunch reimbursement plus the USDA food entitlement.
"CONVENTIONAL SYSTEM" is preparation of some foods from raw ingredients on premises (using some bakery breads and prepared pizza and washing dishes)
"CONVENIENCE SYSTEM" is using maximum amount of processed foods (e.g. using all bakery breads, precooked chicken, ready to serve raw fruits and vegetables, pre-portioned condiments and washing only trays and using disposable dinnerware)
Source: School Foodservice Management for the 21st Century (5th ed.), by D. Pannell -Martin, 1999, pp. 155 -156, Alexandria. VA</t>
        </r>
        <r>
          <rPr>
            <sz val="9"/>
            <color indexed="81"/>
            <rFont val="Tahoma"/>
            <family val="2"/>
          </rPr>
          <t xml:space="preserve">
</t>
        </r>
      </text>
    </comment>
    <comment ref="H4" authorId="0" shapeId="0" xr:uid="{53CDFBDC-5448-4310-B707-518362C82538}">
      <text>
        <r>
          <rPr>
            <b/>
            <sz val="9"/>
            <color indexed="81"/>
            <rFont val="Tahoma"/>
            <family val="2"/>
          </rPr>
          <t>* Meal equivalents (MEQ) include breakfast, snacks and a la carte sales. Lunch 1:1, Breakfast 3:2, Snack 3:1, A la carte MEQ = sales revenue divided by the amount of free lunch reimbursement plus the USDA food entitlement.
"CONVENTIONAL SYSTEM" is preparation of some foods from raw ingredients on premises (using some bakery breads and prepared pizza and washing dishes)
"CONVENIENCE SYSTEM" is using maximum amount of processed foods (e.g. using all bakery breads, precooked chicken, ready to serve raw fruits and vegetables, pre-portioned condiments and washing only trays and using disposable dinnerware)
Source: School Foodservice Management for the 21st Century (5th ed.), by D. Pannell -Martin, 1999, pp. 155 -156, Alexandria. VA</t>
        </r>
        <r>
          <rPr>
            <sz val="9"/>
            <color indexed="81"/>
            <rFont val="Tahoma"/>
            <family val="2"/>
          </rPr>
          <t xml:space="preserve">
</t>
        </r>
      </text>
    </comment>
    <comment ref="B13" authorId="0" shapeId="0" xr:uid="{D7989ABD-E08A-405F-96A0-9D5AA722B60D}">
      <text>
        <r>
          <rPr>
            <b/>
            <sz val="9"/>
            <color indexed="81"/>
            <rFont val="Tahoma"/>
            <family val="2"/>
          </rPr>
          <t>* Meal equivalents (MEQ) include breakfast, snacks and a la carte sales. Lunch 1:1, Breakfast 3:2, Snack 3:1, A la carte MEQ = sales revenue divided by the amount of free lunch reimbursement plus the USDA food entitlement.
"CONVENTIONAL SYSTEM" is preparation of some foods from raw ingredients on premises (using some bakery breads and prepared pizza and washing dishes)
"CONVENIENCE SYSTEM" is using maximum amount of processed foods (e.g. using all bakery breads, precooked chicken, ready to serve raw fruits and vegetables, pre-portioned condiments and washing only trays and using disposable dinnerware)
Source: School Foodservice Management for the 21st Century (5th ed.), by D. Pannell -Martin, 1999, pp. 155 -156, Alexandria. VA</t>
        </r>
        <r>
          <rPr>
            <sz val="9"/>
            <color indexed="81"/>
            <rFont val="Tahoma"/>
            <family val="2"/>
          </rPr>
          <t xml:space="preserve">
</t>
        </r>
      </text>
    </comment>
    <comment ref="H13" authorId="0" shapeId="0" xr:uid="{FF1A31B5-EC8B-4913-9E88-78F5B8B69FD9}">
      <text>
        <r>
          <rPr>
            <b/>
            <sz val="9"/>
            <color indexed="81"/>
            <rFont val="Tahoma"/>
            <family val="2"/>
          </rPr>
          <t>* Meal equivalents (MEQ) include breakfast, snacks and a la carte sales. Lunch 1:1, Breakfast 3:2, Snack 3:1, A la carte MEQ = sales revenue divided by the amount of free lunch reimbursement plus the USDA food entitlement.
"CONVENTIONAL SYSTEM" is preparation of some foods from raw ingredients on premises (using some bakery breads and prepared pizza and washing dishes)
"CONVENIENCE SYSTEM" is using maximum amount of processed foods (e.g. using all bakery breads, precooked chicken, ready to serve raw fruits and vegetables, pre-portioned condiments and washing only trays and using disposable dinnerware)
Source: School Foodservice Management for the 21st Century (5th ed.), by D. Pannell -Martin, 1999, pp. 155 -156, Alexandria. VA</t>
        </r>
        <r>
          <rPr>
            <sz val="9"/>
            <color indexed="81"/>
            <rFont val="Tahoma"/>
            <family val="2"/>
          </rPr>
          <t xml:space="preserve">
</t>
        </r>
      </text>
    </comment>
  </commentList>
</comments>
</file>

<file path=xl/sharedStrings.xml><?xml version="1.0" encoding="utf-8"?>
<sst xmlns="http://schemas.openxmlformats.org/spreadsheetml/2006/main" count="558" uniqueCount="175">
  <si>
    <t>FREE RATE</t>
  </si>
  <si>
    <t>PAID RATE</t>
  </si>
  <si>
    <t>LOW</t>
  </si>
  <si>
    <t>HIGH</t>
  </si>
  <si>
    <t>BREAKFAST</t>
  </si>
  <si>
    <t>LUNCH</t>
  </si>
  <si>
    <t>YES</t>
  </si>
  <si>
    <t>FREE</t>
  </si>
  <si>
    <t>PAID</t>
  </si>
  <si>
    <t>NO</t>
  </si>
  <si>
    <t>CONTIGUOUS US</t>
  </si>
  <si>
    <t>ALASKA</t>
  </si>
  <si>
    <t>HAWAII</t>
  </si>
  <si>
    <t>&lt;60%</t>
  </si>
  <si>
    <t>MAX</t>
  </si>
  <si>
    <t>NSLP REIMBURSEMENT RATES</t>
  </si>
  <si>
    <t>DO YOU RECEIVE THE EXTRA $0.02?</t>
  </si>
  <si>
    <t>≥60%</t>
  </si>
  <si>
    <t>SELECT YOUR RATE TYPE:</t>
  </si>
  <si>
    <t>SELECT YOUR GEOGRAPHIC REGION:</t>
  </si>
  <si>
    <t>IS YOUR SFA CERTIFIED TO RECEIVE AN EXTRA $0.07?</t>
  </si>
  <si>
    <t>AVERAGE DAILY ATTENDANCE</t>
  </si>
  <si>
    <t>ADJUSTMENT</t>
  </si>
  <si>
    <t>REIMBURSEMENT RATE</t>
  </si>
  <si>
    <t>BLENDED CURRENT PAID RATE</t>
  </si>
  <si>
    <t>BLENDED FREE RATE</t>
  </si>
  <si>
    <t>NET INCOME</t>
  </si>
  <si>
    <t>BREAKFAST RATES</t>
  </si>
  <si>
    <t>LUNCH RATES</t>
  </si>
  <si>
    <t>CONTIGUOUS U.S.</t>
  </si>
  <si>
    <t>TOTAL ENROLLMENT</t>
  </si>
  <si>
    <t>DISTRICT QUALIFIES FOR ADDITIONAL $0.07?</t>
  </si>
  <si>
    <t xml:space="preserve">BREAKFAST </t>
  </si>
  <si>
    <t>PERFORMANCE- BASED CASH ASSISTANCE</t>
  </si>
  <si>
    <t>MPLH GOAL RANGE</t>
  </si>
  <si>
    <t>PAID BREAKFAST PRICE</t>
  </si>
  <si>
    <t>PAID LUNCH PRICE</t>
  </si>
  <si>
    <t>AVERAGE DAILY MEAL EQUIVALENTS</t>
  </si>
  <si>
    <t>TOTAL INCOME</t>
  </si>
  <si>
    <t>FOOD</t>
  </si>
  <si>
    <t>PARTICIPATION RATES</t>
  </si>
  <si>
    <t>DISTRICT ENROLLMENT</t>
  </si>
  <si>
    <t>ADMINISTRATIVE LABOR HOURLY WAGE</t>
  </si>
  <si>
    <t>ANNUAL NON-DIRECTOR ADMIN HOURS SPENT PROCESSING F/R APPLICATIONS</t>
  </si>
  <si>
    <t>ESTIMATED ANNUAL INCOME</t>
  </si>
  <si>
    <t>ESTIMATED ANNUAL EXPENSES</t>
  </si>
  <si>
    <t>REIMBURSEMENT LEVEL</t>
  </si>
  <si>
    <t>CEP
SCHOOLS</t>
  </si>
  <si>
    <t>OTHER EXPENSE</t>
  </si>
  <si>
    <t>OTHER INCOME</t>
  </si>
  <si>
    <t>NON-CEP
SCHOOLS</t>
  </si>
  <si>
    <t>ANNUAL OPERATING DAYS</t>
  </si>
  <si>
    <t>CEP ISP MULTIPLIER</t>
  </si>
  <si>
    <t>REDUCED</t>
  </si>
  <si>
    <t>https://www.federalregister.gov/documents/2019/08/07/2019-16903/national-school-lunch-special-milk-and-school-breakfast-programs-national-average-paymentsmaximum#p-31</t>
  </si>
  <si>
    <t>HAWAII / PUERTO RICO</t>
  </si>
  <si>
    <t>NON-SEVERE</t>
  </si>
  <si>
    <t>SEVERE</t>
  </si>
  <si>
    <t>REDUCED RATE</t>
  </si>
  <si>
    <t>SNACKS</t>
  </si>
  <si>
    <t>SNACK</t>
  </si>
  <si>
    <t>https://www.federalregister.gov/documents/2019/08/07/2019-16907/child-and-adult-care-food-program-national-average-payment-rates-day-care-home-food-service-payment</t>
  </si>
  <si>
    <t>SUPPER</t>
  </si>
  <si>
    <t>https://www.ers.usda.gov/topics/food-nutrition-assistance/child-nutrition-programs/after-school-snacks-and-suppers/</t>
  </si>
  <si>
    <t>FREE MEAL ELIGIBLE STUDENTS</t>
  </si>
  <si>
    <t>REDUCED PRICE MEAL ELIGIBLE STUDENTS</t>
  </si>
  <si>
    <t>PAID MEAL ELIGIBLE STUDENTS</t>
  </si>
  <si>
    <t>DAILY STUDENTS PRESENT</t>
  </si>
  <si>
    <t>CLICK HERE TO ADVANCE TO THE NEXT PAGE</t>
  </si>
  <si>
    <t>% FREE</t>
  </si>
  <si>
    <t>% REDUCED</t>
  </si>
  <si>
    <t>% PAID</t>
  </si>
  <si>
    <t>FREE REIMBURSEMENT RATE</t>
  </si>
  <si>
    <t>REDUCED REIMBURSEMENT RATE</t>
  </si>
  <si>
    <t>PAID REIMBURSEMENT RATE</t>
  </si>
  <si>
    <t>SNACK / ALA CARTE</t>
  </si>
  <si>
    <t>DISTRICT SUMMARY</t>
  </si>
  <si>
    <t>CLICK HERE TO RETURN TO THE PREVIOUS PAGE</t>
  </si>
  <si>
    <t>TOTAL</t>
  </si>
  <si>
    <t>BREAKFAST PARTICIPATION AVERAGE</t>
  </si>
  <si>
    <t>SNACK PARTICIPATION AVERAGE</t>
  </si>
  <si>
    <t>LUNCH PARTICIPATION AVERAGE</t>
  </si>
  <si>
    <t>SUPPER PARTICIPATION AVERAGE</t>
  </si>
  <si>
    <t>ALA CARTE PARTICIPATION AVERAGE</t>
  </si>
  <si>
    <t>https://www.fns.usda.gov/usda-fis/value-donated-foods-notices</t>
  </si>
  <si>
    <t>VALUE OF DONATED FOODS</t>
  </si>
  <si>
    <t>CONVENTIONAL SYSTEM</t>
  </si>
  <si>
    <r>
      <t>MEAL
EQUIVALENTS</t>
    </r>
    <r>
      <rPr>
        <b/>
        <vertAlign val="superscript"/>
        <sz val="11"/>
        <color theme="1"/>
        <rFont val="Calibri"/>
        <family val="2"/>
        <scheme val="minor"/>
      </rPr>
      <t>1</t>
    </r>
  </si>
  <si>
    <r>
      <t>CONVENTIONAL SYSTEM MLPH</t>
    </r>
    <r>
      <rPr>
        <b/>
        <vertAlign val="superscript"/>
        <sz val="11"/>
        <color theme="1"/>
        <rFont val="Calibri"/>
        <family val="2"/>
        <scheme val="minor"/>
      </rPr>
      <t>2</t>
    </r>
  </si>
  <si>
    <r>
      <t>CONVENIENCE 
SYSTEM MLPH</t>
    </r>
    <r>
      <rPr>
        <b/>
        <vertAlign val="superscript"/>
        <sz val="11"/>
        <color theme="1"/>
        <rFont val="Calibri"/>
        <family val="2"/>
        <scheme val="minor"/>
      </rPr>
      <t>3</t>
    </r>
  </si>
  <si>
    <t>1 Meal equivalents (MEQ) include breakfast, snacks and a la carte sales. Lunch 1:1, Breakfast 3:2, Snack 3:1, A la carte MEQ = sales revenue divided by the amount of free lunch reimbursement plus the USDA food entitlement.</t>
  </si>
  <si>
    <t>2 Conventional system is preparation of some foods from raw ingredients on premises (using some bakery breads and prepared pizza and washing dishes)</t>
  </si>
  <si>
    <t>3 Convenience system is using maximum amount of processed foods (e.g. using all bakery breads, precooked chicken, ready to serve raw fruits and vegetables, pre-portioned condiments and washing only trays and using disposable dinnerware)</t>
  </si>
  <si>
    <t>Source: School Foodservice Management for the 21st Century (5th ed.), by D. Pannell -Martin, 1999, pp. 155 -156, Alexandria. VA</t>
  </si>
  <si>
    <t>MEAL SERVICE TYPE</t>
  </si>
  <si>
    <t>ANNUAL ADMIN HOURS SPENT PROCESSING F/R APPLICATIONS</t>
  </si>
  <si>
    <t>AVG DAILY NON-DIRECTOR ADMINISTRATIVE LABOR HOURS</t>
  </si>
  <si>
    <t>ANNUAL ADMINISTRATIVE WAGE EXPENSE</t>
  </si>
  <si>
    <t>STATUS
QUO</t>
  </si>
  <si>
    <t>CEP
COMPARISON</t>
  </si>
  <si>
    <t>FOOD &amp; MATERIALS EXPENSE</t>
  </si>
  <si>
    <t>DIRECT LABOR ASSUMPTIONS</t>
  </si>
  <si>
    <t>ADMINISTRATIVE LABOR ASSUMPTIONS</t>
  </si>
  <si>
    <t>FOOD &amp; MATERIALS EXPENSE ASSUMPTIONS</t>
  </si>
  <si>
    <t>AVERAGE PER MEAL FOOD COST</t>
  </si>
  <si>
    <t>ALA CARTE</t>
  </si>
  <si>
    <t>AVERAGE PER MEAL MATERIALS COST</t>
  </si>
  <si>
    <t>ANNUAL TOTAL</t>
  </si>
  <si>
    <t>OVERVIEW BY GRADE LEVEL</t>
  </si>
  <si>
    <t>OTHER EXPENSES</t>
  </si>
  <si>
    <t>ANNUAL UNPAID STUDENT LUNCH DEBT</t>
  </si>
  <si>
    <t>FOOD SERVICE MANAGEMENT FEES</t>
  </si>
  <si>
    <t>OTHER ANNUAL EXPENSES</t>
  </si>
  <si>
    <t>REVENUES</t>
  </si>
  <si>
    <t>CURRENT</t>
  </si>
  <si>
    <t>CEP</t>
  </si>
  <si>
    <t>FOOD &amp; MATERIALS</t>
  </si>
  <si>
    <t>FOOD &amp; MATERIALS TOTAL</t>
  </si>
  <si>
    <t>DIRECT LABOR</t>
  </si>
  <si>
    <t>DIRECT LABOR TOTAL</t>
  </si>
  <si>
    <t>ADMINISTRATIVE LABOR</t>
  </si>
  <si>
    <t>ADMINISTRATIVE LABOR TOTAL</t>
  </si>
  <si>
    <t>OTHER EXPENSE TOTAL</t>
  </si>
  <si>
    <t>TOTAL EXPENSES</t>
  </si>
  <si>
    <t>EXPENSES</t>
  </si>
  <si>
    <t>OTHER</t>
  </si>
  <si>
    <t>ADMIN LABOR</t>
  </si>
  <si>
    <t>REIMBURSEMENTS AND REVENUES</t>
  </si>
  <si>
    <t>CHARTS</t>
  </si>
  <si>
    <t>HYPERLINKED TABLE OF CONTENTS:</t>
  </si>
  <si>
    <t>INSTRUCTIONS:</t>
  </si>
  <si>
    <t>SPECIFIC NOTES AND GUIDANCE CAN BE FOUND IN POP-UP COMMENTS ADJACENT TO INPUT CELLS.</t>
  </si>
  <si>
    <r>
      <t xml:space="preserve">INPUT CELLS ARE INDICATED BY </t>
    </r>
    <r>
      <rPr>
        <b/>
        <sz val="11"/>
        <color rgb="FF0070C0"/>
        <rFont val="Calibri"/>
        <family val="2"/>
        <scheme val="minor"/>
      </rPr>
      <t>BOLD BLUE FONT</t>
    </r>
    <r>
      <rPr>
        <sz val="11"/>
        <rFont val="Calibri"/>
        <family val="2"/>
        <scheme val="minor"/>
      </rPr>
      <t>.</t>
    </r>
  </si>
  <si>
    <t>WORKSHEETS CAN BE ACCESSED BY CLICKING ON THE HYPERLINKS BELOW OR WORKSHEET TABS IN THE RIBBON AT THE BOTTOM OF THE TOOL.</t>
  </si>
  <si>
    <t>1)  District average daily attendance</t>
  </si>
  <si>
    <t>2)  Your district's identified student percentage (ISP).</t>
  </si>
  <si>
    <t xml:space="preserve">For an explanation of ISP, click here. </t>
  </si>
  <si>
    <t>3)  Your current per meal reimbursement rates.</t>
  </si>
  <si>
    <t>4)  Your current per meal food and materials expenses.</t>
  </si>
  <si>
    <t>5)  Your current hourly labor rate.</t>
  </si>
  <si>
    <t>Once you have this information, click</t>
  </si>
  <si>
    <t>HERE</t>
  </si>
  <si>
    <t>to proceed.</t>
  </si>
  <si>
    <t>ENROLLMENT</t>
  </si>
  <si>
    <t>MEALS PER LABOR HOUR</t>
  </si>
  <si>
    <t>AVERAGE HOURLY WAGE</t>
  </si>
  <si>
    <t>TOTAL AVERAGE DAILY HOURS</t>
  </si>
  <si>
    <t>ANNUAL LABOR EXPENSE</t>
  </si>
  <si>
    <t>ANNUAL FOOD EXPENSE BY MEAL TYPE</t>
  </si>
  <si>
    <t>SCHOOL TYPE #1</t>
  </si>
  <si>
    <t>SCHOOL TYPE #2</t>
  </si>
  <si>
    <t>SCHOOL TYPE #3</t>
  </si>
  <si>
    <t>SCHOOL TYPE #4</t>
  </si>
  <si>
    <t>OVERVIEW</t>
  </si>
  <si>
    <t>AVERAGE DAILY HOURS</t>
  </si>
  <si>
    <t>FOOD SERVICE DIRECTOR ANNUAL SALARY</t>
  </si>
  <si>
    <t>FOOD SERVICE DIRECTOR SALARY</t>
  </si>
  <si>
    <t>FICA / TAXES</t>
  </si>
  <si>
    <t>SUBTOTAL</t>
  </si>
  <si>
    <t>DETAILED COMPARATIVE PROFIT AND LOSS STATEMENT</t>
  </si>
  <si>
    <t>DISTRICT OVERHEAD &amp; INDIRECT CHARGES</t>
  </si>
  <si>
    <t>PROPERTY, PLANT, AND EQUIPMENT MAINTENANCE EXPENSES</t>
  </si>
  <si>
    <t>UTILITIES</t>
  </si>
  <si>
    <t>STATE / LOCAL REIMBURSEMENT</t>
  </si>
  <si>
    <t>BENEFITS</t>
  </si>
  <si>
    <t>BENEFIT %</t>
  </si>
  <si>
    <t>FICA / PAYROLL TAX %</t>
  </si>
  <si>
    <t>BENEFITS &amp; TAXES</t>
  </si>
  <si>
    <t>TOTAL REIMBURSEMENT</t>
  </si>
  <si>
    <t>FEDERAL REIMBURSEMENT</t>
  </si>
  <si>
    <t>CEP GROUP ISP%</t>
  </si>
  <si>
    <t>SEVERE NEED</t>
  </si>
  <si>
    <t>AVERAGE ALA CARTE PRICE</t>
  </si>
  <si>
    <r>
      <t xml:space="preserve">BEFORE YOU GET STARTED, </t>
    </r>
    <r>
      <rPr>
        <i/>
        <sz val="11"/>
        <color theme="1"/>
        <rFont val="Calibri"/>
        <family val="2"/>
        <scheme val="minor"/>
      </rPr>
      <t>it will be easiest and most accurate to use the tool and you have a few pieces of district information handy:</t>
    </r>
  </si>
  <si>
    <t xml:space="preserve">Welcome to FRAC's Community Eligibility modeling tool.  This calculator is designed to help you assess the potential financial benefits of exercising the Community Eligibility Provision in your district.  
Community eligibility is a powerful tool for high-poverty schools to provide breakfast and lunch at no charge to all students. Community eligibility reduces administrative paperwork for schools so they can focus on providing healthy meals to help students learn and thrive; increases school meal participation by removing stigma; maximizes federal reimbursements; and makes it easier to implement innovative service models like Breakfast in the Classroom.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</si>
</sst>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8" formatCode="&quot;$&quot;#,##0.00_);[Red]\(&quot;$&quot;#,##0.00\)"/>
    <numFmt numFmtId="164" formatCode="0.0000"/>
    <numFmt numFmtId="165" formatCode="0.0"/>
    <numFmt numFmtId="166" formatCode="&quot;$&quot;#,##0.00"/>
    <numFmt numFmtId="167" formatCode="#,##0.0_);[Red]\(#,##0.0\)"/>
    <numFmt numFmtId="168" formatCode="0.0%"/>
    <numFmt numFmtId="169" formatCode="&quot;$&quot;#,##0"/>
    <numFmt numFmtId="170" formatCode="0.00000"/>
    <numFmt numFmtId="171" formatCode="0.00000000"/>
    <numFmt numFmtId="172" formatCode="&quot;$&quot;#,##0.0000"/>
  </numFmts>
  <fonts count="32" x14ac:knownFonts="1">
    <font>
      <sz val="11"/>
      <color theme="1"/>
      <name val="Calibri"/>
      <family val="2"/>
      <scheme val="minor"/>
    </font>
    <font>
      <b/>
      <sz val="11"/>
      <color theme="1"/>
      <name val="Calibri"/>
      <family val="2"/>
      <scheme val="minor"/>
    </font>
    <font>
      <b/>
      <sz val="11"/>
      <color rgb="FF0070C0"/>
      <name val="Calibri"/>
      <family val="2"/>
      <scheme val="minor"/>
    </font>
    <font>
      <b/>
      <vertAlign val="superscript"/>
      <sz val="11"/>
      <color theme="1"/>
      <name val="Calibri"/>
      <family val="2"/>
      <scheme val="minor"/>
    </font>
    <font>
      <b/>
      <sz val="16"/>
      <color theme="1"/>
      <name val="Calibri"/>
      <family val="2"/>
      <scheme val="minor"/>
    </font>
    <font>
      <i/>
      <sz val="11"/>
      <name val="Calibri"/>
      <family val="2"/>
      <scheme val="minor"/>
    </font>
    <font>
      <sz val="11"/>
      <color theme="1"/>
      <name val="Calibri"/>
      <family val="2"/>
      <scheme val="minor"/>
    </font>
    <font>
      <i/>
      <sz val="11"/>
      <color theme="1"/>
      <name val="Calibri"/>
      <family val="2"/>
      <scheme val="minor"/>
    </font>
    <font>
      <b/>
      <i/>
      <sz val="11"/>
      <color rgb="FF0070C0"/>
      <name val="Calibri"/>
      <family val="2"/>
      <scheme val="minor"/>
    </font>
    <font>
      <b/>
      <sz val="14"/>
      <color theme="1"/>
      <name val="Calibri"/>
      <family val="2"/>
      <scheme val="minor"/>
    </font>
    <font>
      <b/>
      <i/>
      <sz val="11"/>
      <color theme="1"/>
      <name val="Calibri"/>
      <family val="2"/>
      <scheme val="minor"/>
    </font>
    <font>
      <u/>
      <sz val="11"/>
      <color theme="10"/>
      <name val="Calibri"/>
      <family val="2"/>
      <scheme val="minor"/>
    </font>
    <font>
      <b/>
      <sz val="11"/>
      <name val="Calibri"/>
      <family val="2"/>
      <scheme val="minor"/>
    </font>
    <font>
      <sz val="11"/>
      <color rgb="FF0070C0"/>
      <name val="Calibri"/>
      <family val="2"/>
      <scheme val="minor"/>
    </font>
    <font>
      <sz val="11"/>
      <name val="Calibri"/>
      <family val="2"/>
      <scheme val="minor"/>
    </font>
    <font>
      <sz val="11"/>
      <color rgb="FF12AA3D"/>
      <name val="Calibri"/>
      <family val="2"/>
      <scheme val="minor"/>
    </font>
    <font>
      <b/>
      <i/>
      <sz val="11"/>
      <color rgb="FFCC0000"/>
      <name val="Calibri"/>
      <family val="2"/>
      <scheme val="minor"/>
    </font>
    <font>
      <b/>
      <u/>
      <sz val="11"/>
      <color rgb="FF12AA3D"/>
      <name val="Calibri"/>
      <family val="2"/>
      <scheme val="minor"/>
    </font>
    <font>
      <sz val="8"/>
      <name val="Calibri"/>
      <family val="2"/>
      <scheme val="minor"/>
    </font>
    <font>
      <sz val="9"/>
      <color indexed="81"/>
      <name val="Tahoma"/>
      <family val="2"/>
    </font>
    <font>
      <b/>
      <sz val="9"/>
      <color indexed="81"/>
      <name val="Tahoma"/>
      <family val="2"/>
    </font>
    <font>
      <b/>
      <i/>
      <sz val="14"/>
      <color theme="1"/>
      <name val="Calibri"/>
      <family val="2"/>
      <scheme val="minor"/>
    </font>
    <font>
      <b/>
      <u/>
      <sz val="11"/>
      <color rgb="FFC00000"/>
      <name val="Calibri"/>
      <family val="2"/>
      <scheme val="minor"/>
    </font>
    <font>
      <b/>
      <sz val="14"/>
      <name val="Calibri"/>
      <family val="2"/>
      <scheme val="minor"/>
    </font>
    <font>
      <b/>
      <u/>
      <sz val="11"/>
      <color rgb="FF0070C0"/>
      <name val="Calibri"/>
      <family val="2"/>
      <scheme val="minor"/>
    </font>
    <font>
      <b/>
      <u/>
      <sz val="11"/>
      <color theme="10"/>
      <name val="Calibri"/>
      <family val="2"/>
      <scheme val="minor"/>
    </font>
    <font>
      <b/>
      <sz val="14"/>
      <color rgb="FF12AA3D"/>
      <name val="Calibri"/>
      <family val="2"/>
      <scheme val="minor"/>
    </font>
    <font>
      <b/>
      <u/>
      <sz val="11"/>
      <color rgb="FFCC0000"/>
      <name val="Calibri"/>
      <family val="2"/>
      <scheme val="minor"/>
    </font>
    <font>
      <b/>
      <sz val="9"/>
      <color rgb="FF0070C0"/>
      <name val="Calibri"/>
      <family val="2"/>
      <scheme val="minor"/>
    </font>
    <font>
      <b/>
      <sz val="14"/>
      <color rgb="FF0070C0"/>
      <name val="Calibri"/>
      <family val="2"/>
      <scheme val="minor"/>
    </font>
    <font>
      <b/>
      <sz val="9"/>
      <color theme="1"/>
      <name val="Calibri"/>
      <family val="2"/>
      <scheme val="minor"/>
    </font>
    <font>
      <b/>
      <sz val="8"/>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EDEDE"/>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9" fontId="6" fillId="0" borderId="0" applyFont="0" applyFill="0" applyBorder="0" applyAlignment="0" applyProtection="0"/>
    <xf numFmtId="0" fontId="11" fillId="0" borderId="0" applyNumberFormat="0" applyFill="0" applyBorder="0" applyAlignment="0" applyProtection="0"/>
  </cellStyleXfs>
  <cellXfs count="350">
    <xf numFmtId="0" fontId="0" fillId="0" borderId="0" xfId="0"/>
    <xf numFmtId="0" fontId="0" fillId="0" borderId="0" xfId="0" applyAlignment="1">
      <alignment horizontal="left" vertical="center"/>
    </xf>
    <xf numFmtId="0" fontId="1" fillId="0" borderId="0" xfId="0" applyFont="1" applyAlignment="1">
      <alignment horizontal="right" vertical="center"/>
    </xf>
    <xf numFmtId="0" fontId="1" fillId="0" borderId="0" xfId="0" applyFont="1" applyBorder="1" applyAlignment="1">
      <alignment horizontal="righ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 fillId="0" borderId="0" xfId="0" applyFont="1" applyBorder="1" applyAlignment="1">
      <alignment horizontal="center" vertical="center" wrapText="1"/>
    </xf>
    <xf numFmtId="166" fontId="7" fillId="0" borderId="0" xfId="0" applyNumberFormat="1" applyFont="1" applyAlignment="1">
      <alignment horizontal="center" vertical="center" wrapText="1"/>
    </xf>
    <xf numFmtId="166" fontId="7" fillId="0" borderId="0" xfId="0" applyNumberFormat="1" applyFont="1" applyBorder="1" applyAlignment="1">
      <alignment horizontal="center" vertical="center"/>
    </xf>
    <xf numFmtId="0" fontId="2" fillId="0" borderId="0" xfId="0" applyFont="1" applyBorder="1" applyAlignment="1">
      <alignment horizontal="center" vertical="center"/>
    </xf>
    <xf numFmtId="8" fontId="7" fillId="0" borderId="0" xfId="0" applyNumberFormat="1" applyFont="1" applyBorder="1" applyAlignment="1">
      <alignment horizontal="center" vertical="center"/>
    </xf>
    <xf numFmtId="0" fontId="1" fillId="0" borderId="0" xfId="0" applyFont="1" applyBorder="1" applyAlignment="1">
      <alignment horizontal="center" vertical="center"/>
    </xf>
    <xf numFmtId="8" fontId="2" fillId="0" borderId="0" xfId="0" applyNumberFormat="1" applyFont="1" applyBorder="1" applyAlignment="1">
      <alignment horizontal="center" vertical="center"/>
    </xf>
    <xf numFmtId="0" fontId="2" fillId="0" borderId="0" xfId="0" applyFont="1" applyBorder="1" applyAlignment="1">
      <alignment horizontal="left" vertical="center"/>
    </xf>
    <xf numFmtId="166" fontId="2" fillId="3" borderId="1" xfId="0" applyNumberFormat="1" applyFont="1" applyFill="1" applyBorder="1" applyAlignment="1" applyProtection="1">
      <alignment horizontal="center" vertical="center" wrapText="1"/>
      <protection locked="0"/>
    </xf>
    <xf numFmtId="0" fontId="9" fillId="3" borderId="0" xfId="0" applyFont="1" applyFill="1" applyBorder="1" applyAlignment="1" applyProtection="1">
      <alignment horizontal="right" vertical="center"/>
    </xf>
    <xf numFmtId="164" fontId="0" fillId="3" borderId="0" xfId="0" applyNumberFormat="1" applyFont="1" applyFill="1" applyBorder="1" applyAlignment="1" applyProtection="1">
      <alignment horizontal="center" vertical="center" wrapText="1"/>
    </xf>
    <xf numFmtId="0" fontId="0" fillId="3" borderId="0" xfId="0" applyFont="1" applyFill="1" applyBorder="1" applyAlignment="1" applyProtection="1">
      <alignment horizontal="center" vertical="center" wrapText="1"/>
    </xf>
    <xf numFmtId="0" fontId="0" fillId="3" borderId="0" xfId="0" applyFill="1"/>
    <xf numFmtId="0" fontId="1" fillId="3" borderId="0" xfId="0" applyFont="1" applyFill="1" applyBorder="1" applyAlignment="1" applyProtection="1">
      <alignment horizontal="right" vertical="center"/>
    </xf>
    <xf numFmtId="0" fontId="2" fillId="3" borderId="0" xfId="0" applyFont="1" applyFill="1" applyBorder="1" applyAlignment="1" applyProtection="1">
      <alignment horizontal="left" vertical="center"/>
    </xf>
    <xf numFmtId="0" fontId="1" fillId="3" borderId="0" xfId="0" applyFont="1" applyFill="1" applyBorder="1" applyAlignment="1" applyProtection="1">
      <alignment vertical="center"/>
    </xf>
    <xf numFmtId="0" fontId="0" fillId="3" borderId="0" xfId="0" applyFont="1" applyFill="1" applyBorder="1" applyAlignment="1" applyProtection="1">
      <alignment horizontal="right" vertical="center"/>
    </xf>
    <xf numFmtId="0" fontId="1" fillId="3" borderId="0" xfId="0" applyFont="1" applyFill="1" applyBorder="1" applyAlignment="1" applyProtection="1">
      <alignment horizontal="center" vertical="center" wrapText="1"/>
    </xf>
    <xf numFmtId="8" fontId="7" fillId="3" borderId="0" xfId="0" applyNumberFormat="1" applyFont="1" applyFill="1" applyBorder="1" applyAlignment="1" applyProtection="1">
      <alignment horizontal="center" vertical="center"/>
    </xf>
    <xf numFmtId="0" fontId="0" fillId="3" borderId="0" xfId="0" applyFont="1" applyFill="1" applyBorder="1" applyAlignment="1" applyProtection="1">
      <alignment horizontal="center" vertical="center"/>
    </xf>
    <xf numFmtId="0" fontId="2" fillId="5" borderId="1" xfId="0" applyFont="1" applyFill="1" applyBorder="1" applyAlignment="1" applyProtection="1">
      <alignment horizontal="center" vertical="center" wrapText="1"/>
      <protection locked="0"/>
    </xf>
    <xf numFmtId="8" fontId="2" fillId="5" borderId="1" xfId="0" applyNumberFormat="1" applyFont="1" applyFill="1" applyBorder="1" applyAlignment="1" applyProtection="1">
      <alignment horizontal="center" vertical="center"/>
      <protection locked="0"/>
    </xf>
    <xf numFmtId="164" fontId="0" fillId="3" borderId="0" xfId="0" applyNumberFormat="1" applyFont="1" applyFill="1" applyBorder="1" applyAlignment="1" applyProtection="1">
      <alignment horizontal="center" vertical="center"/>
    </xf>
    <xf numFmtId="0" fontId="1" fillId="2" borderId="1" xfId="0" applyFont="1" applyFill="1" applyBorder="1" applyAlignment="1" applyProtection="1">
      <alignment horizontal="right" vertical="center"/>
    </xf>
    <xf numFmtId="0" fontId="0" fillId="3" borderId="0" xfId="0" applyFill="1" applyAlignment="1" applyProtection="1">
      <alignment vertical="center"/>
    </xf>
    <xf numFmtId="0" fontId="7" fillId="2" borderId="1" xfId="0" applyFont="1" applyFill="1" applyBorder="1" applyAlignment="1" applyProtection="1">
      <alignment horizontal="center" vertical="center" wrapText="1"/>
    </xf>
    <xf numFmtId="0" fontId="0" fillId="3" borderId="1" xfId="0" applyFont="1" applyFill="1" applyBorder="1" applyAlignment="1" applyProtection="1">
      <alignment horizontal="right" vertical="center"/>
    </xf>
    <xf numFmtId="0" fontId="0" fillId="3" borderId="0" xfId="0" applyFill="1" applyBorder="1" applyAlignment="1" applyProtection="1">
      <alignment horizontal="center" vertical="center"/>
    </xf>
    <xf numFmtId="166" fontId="0" fillId="3" borderId="0" xfId="0" applyNumberFormat="1" applyFill="1" applyBorder="1" applyAlignment="1" applyProtection="1">
      <alignment horizontal="center" vertical="center" wrapText="1"/>
    </xf>
    <xf numFmtId="0" fontId="1" fillId="2" borderId="1" xfId="0" applyFont="1" applyFill="1" applyBorder="1" applyAlignment="1" applyProtection="1">
      <alignment vertical="center"/>
    </xf>
    <xf numFmtId="0" fontId="1" fillId="2" borderId="1" xfId="0" applyFont="1" applyFill="1" applyBorder="1" applyAlignment="1" applyProtection="1">
      <alignment horizontal="center" vertical="center" wrapText="1"/>
    </xf>
    <xf numFmtId="0" fontId="0" fillId="3" borderId="1" xfId="0" applyFill="1" applyBorder="1" applyAlignment="1" applyProtection="1">
      <alignment horizontal="right" vertical="center"/>
    </xf>
    <xf numFmtId="0" fontId="11" fillId="0" borderId="0" xfId="2" applyProtection="1">
      <protection locked="0"/>
    </xf>
    <xf numFmtId="166" fontId="2" fillId="3" borderId="1" xfId="0" applyNumberFormat="1" applyFont="1" applyFill="1" applyBorder="1" applyAlignment="1" applyProtection="1">
      <alignment horizontal="center" vertical="center"/>
      <protection locked="0"/>
    </xf>
    <xf numFmtId="167" fontId="2" fillId="3" borderId="1" xfId="0"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xf>
    <xf numFmtId="0" fontId="7" fillId="3" borderId="0" xfId="0" applyFont="1" applyFill="1" applyBorder="1" applyAlignment="1" applyProtection="1">
      <alignment vertical="center" wrapText="1"/>
    </xf>
    <xf numFmtId="0" fontId="7" fillId="3" borderId="0" xfId="0" applyFont="1" applyFill="1" applyBorder="1" applyAlignment="1" applyProtection="1">
      <alignment horizontal="center" vertical="center" wrapText="1"/>
    </xf>
    <xf numFmtId="166" fontId="2" fillId="3" borderId="0" xfId="0" applyNumberFormat="1" applyFont="1" applyFill="1" applyBorder="1" applyAlignment="1" applyProtection="1">
      <alignment horizontal="center" vertical="center" wrapText="1"/>
      <protection locked="0"/>
    </xf>
    <xf numFmtId="166" fontId="2" fillId="3" borderId="0" xfId="0" applyNumberFormat="1" applyFont="1" applyFill="1" applyBorder="1" applyAlignment="1" applyProtection="1">
      <alignment horizontal="center" vertical="center"/>
      <protection locked="0"/>
    </xf>
    <xf numFmtId="0" fontId="1" fillId="4" borderId="2" xfId="0" applyFont="1" applyFill="1" applyBorder="1" applyAlignment="1" applyProtection="1">
      <alignment vertical="center"/>
    </xf>
    <xf numFmtId="0" fontId="1" fillId="4" borderId="3" xfId="0" applyFont="1" applyFill="1" applyBorder="1" applyAlignment="1" applyProtection="1">
      <alignment horizontal="center" vertical="center"/>
    </xf>
    <xf numFmtId="0" fontId="1" fillId="4" borderId="4" xfId="0" applyFont="1" applyFill="1" applyBorder="1" applyAlignment="1" applyProtection="1">
      <alignment horizontal="center" vertical="center"/>
    </xf>
    <xf numFmtId="0" fontId="10" fillId="2" borderId="1" xfId="0" applyFont="1" applyFill="1" applyBorder="1" applyAlignment="1" applyProtection="1">
      <alignment horizontal="center" vertical="center" wrapText="1"/>
    </xf>
    <xf numFmtId="0" fontId="11" fillId="0" borderId="0" xfId="2"/>
    <xf numFmtId="38" fontId="7" fillId="3" borderId="0" xfId="0" applyNumberFormat="1" applyFont="1" applyFill="1" applyBorder="1" applyAlignment="1" applyProtection="1">
      <alignment horizontal="center" vertical="center" wrapText="1"/>
    </xf>
    <xf numFmtId="38" fontId="5" fillId="3" borderId="0" xfId="0" applyNumberFormat="1" applyFont="1" applyFill="1" applyBorder="1" applyAlignment="1" applyProtection="1">
      <alignment horizontal="center" vertical="center" wrapText="1"/>
    </xf>
    <xf numFmtId="0" fontId="0" fillId="4" borderId="0" xfId="0" applyFont="1" applyFill="1" applyBorder="1" applyAlignment="1" applyProtection="1">
      <alignment horizontal="center" vertical="center" wrapText="1"/>
    </xf>
    <xf numFmtId="169" fontId="5" fillId="3" borderId="0" xfId="0" applyNumberFormat="1" applyFont="1" applyFill="1" applyBorder="1" applyAlignment="1" applyProtection="1">
      <alignment horizontal="center" vertical="center" wrapText="1"/>
    </xf>
    <xf numFmtId="38" fontId="5" fillId="3" borderId="9" xfId="0" applyNumberFormat="1" applyFont="1" applyFill="1" applyBorder="1" applyAlignment="1" applyProtection="1">
      <alignment horizontal="center" vertical="center" wrapText="1"/>
    </xf>
    <xf numFmtId="38" fontId="5" fillId="3" borderId="12" xfId="0" applyNumberFormat="1" applyFont="1" applyFill="1" applyBorder="1" applyAlignment="1" applyProtection="1">
      <alignment horizontal="center" vertical="center" wrapText="1"/>
    </xf>
    <xf numFmtId="38" fontId="5" fillId="3" borderId="7" xfId="0" applyNumberFormat="1" applyFont="1" applyFill="1" applyBorder="1" applyAlignment="1" applyProtection="1">
      <alignment horizontal="center" vertical="center" wrapText="1"/>
    </xf>
    <xf numFmtId="0" fontId="12" fillId="3" borderId="0" xfId="0" applyFont="1" applyFill="1" applyBorder="1" applyAlignment="1" applyProtection="1">
      <alignment horizontal="center" vertical="center" wrapText="1"/>
    </xf>
    <xf numFmtId="164" fontId="14" fillId="3" borderId="0" xfId="0" applyNumberFormat="1" applyFont="1" applyFill="1" applyBorder="1" applyAlignment="1" applyProtection="1">
      <alignment horizontal="center" vertical="center"/>
    </xf>
    <xf numFmtId="171" fontId="0" fillId="3" borderId="0" xfId="0" applyNumberFormat="1" applyFont="1" applyFill="1" applyBorder="1" applyAlignment="1" applyProtection="1">
      <alignment horizontal="center" vertical="center"/>
    </xf>
    <xf numFmtId="164" fontId="0" fillId="3" borderId="0" xfId="0" applyNumberFormat="1" applyFont="1" applyFill="1" applyBorder="1" applyAlignment="1" applyProtection="1">
      <alignment horizontal="right" vertical="center"/>
    </xf>
    <xf numFmtId="10" fontId="1" fillId="3" borderId="0" xfId="0" applyNumberFormat="1" applyFont="1" applyFill="1" applyBorder="1" applyAlignment="1" applyProtection="1">
      <alignment horizontal="right" vertical="center"/>
    </xf>
    <xf numFmtId="164" fontId="1" fillId="3" borderId="0" xfId="0" applyNumberFormat="1" applyFont="1" applyFill="1" applyBorder="1" applyAlignment="1" applyProtection="1">
      <alignment horizontal="center" vertical="center"/>
    </xf>
    <xf numFmtId="38" fontId="0" fillId="3" borderId="7" xfId="0" applyNumberFormat="1" applyFont="1" applyFill="1" applyBorder="1" applyAlignment="1" applyProtection="1">
      <alignment horizontal="right" vertical="center"/>
    </xf>
    <xf numFmtId="0" fontId="0" fillId="3" borderId="7" xfId="0" applyFont="1" applyFill="1" applyBorder="1" applyAlignment="1" applyProtection="1">
      <alignment horizontal="right" vertical="center"/>
    </xf>
    <xf numFmtId="164" fontId="0" fillId="3" borderId="7" xfId="0" applyNumberFormat="1" applyFont="1" applyFill="1" applyBorder="1" applyAlignment="1" applyProtection="1">
      <alignment horizontal="right" vertical="center"/>
    </xf>
    <xf numFmtId="164" fontId="0" fillId="3" borderId="6" xfId="0" applyNumberFormat="1" applyFont="1" applyFill="1" applyBorder="1" applyAlignment="1" applyProtection="1">
      <alignment horizontal="right" vertical="center"/>
    </xf>
    <xf numFmtId="0" fontId="12" fillId="3" borderId="0" xfId="0" applyFont="1" applyFill="1" applyBorder="1" applyAlignment="1" applyProtection="1">
      <alignment horizontal="center" vertical="center"/>
    </xf>
    <xf numFmtId="38" fontId="5" fillId="3" borderId="0" xfId="0" applyNumberFormat="1" applyFont="1" applyFill="1" applyBorder="1" applyAlignment="1" applyProtection="1">
      <alignment horizontal="center" vertical="center"/>
    </xf>
    <xf numFmtId="168" fontId="7" fillId="3" borderId="0" xfId="1" applyNumberFormat="1" applyFont="1" applyFill="1" applyBorder="1" applyAlignment="1" applyProtection="1">
      <alignment horizontal="center" vertical="center"/>
    </xf>
    <xf numFmtId="168" fontId="7" fillId="3" borderId="15" xfId="1" applyNumberFormat="1" applyFont="1" applyFill="1" applyBorder="1" applyAlignment="1" applyProtection="1">
      <alignment horizontal="center" vertical="center"/>
    </xf>
    <xf numFmtId="0" fontId="0" fillId="3" borderId="0" xfId="0" applyFont="1" applyFill="1" applyBorder="1" applyAlignment="1" applyProtection="1">
      <alignment horizontal="left" vertical="center"/>
    </xf>
    <xf numFmtId="0" fontId="1" fillId="3" borderId="0" xfId="0" applyFont="1" applyFill="1" applyBorder="1" applyAlignment="1" applyProtection="1">
      <alignment horizontal="center" vertical="center"/>
    </xf>
    <xf numFmtId="38" fontId="12" fillId="3" borderId="0" xfId="0" applyNumberFormat="1" applyFont="1" applyFill="1" applyBorder="1" applyAlignment="1" applyProtection="1">
      <alignment horizontal="center" vertical="center"/>
    </xf>
    <xf numFmtId="38" fontId="5" fillId="3" borderId="9" xfId="0" applyNumberFormat="1" applyFont="1" applyFill="1" applyBorder="1" applyAlignment="1" applyProtection="1">
      <alignment horizontal="center" vertical="center"/>
    </xf>
    <xf numFmtId="0" fontId="0" fillId="3" borderId="0" xfId="0" applyFill="1" applyProtection="1"/>
    <xf numFmtId="0" fontId="15" fillId="3" borderId="0" xfId="0" applyFont="1" applyFill="1" applyProtection="1"/>
    <xf numFmtId="8" fontId="2" fillId="5" borderId="1" xfId="0" applyNumberFormat="1" applyFont="1" applyFill="1" applyBorder="1" applyAlignment="1" applyProtection="1">
      <alignment horizontal="center" vertical="center" wrapText="1"/>
      <protection locked="0"/>
    </xf>
    <xf numFmtId="166" fontId="2" fillId="5" borderId="1" xfId="0" applyNumberFormat="1" applyFont="1" applyFill="1" applyBorder="1" applyAlignment="1" applyProtection="1">
      <alignment horizontal="center" vertical="center" wrapText="1"/>
      <protection locked="0"/>
    </xf>
    <xf numFmtId="0" fontId="0" fillId="3" borderId="0" xfId="0" applyFill="1" applyBorder="1" applyProtection="1"/>
    <xf numFmtId="1" fontId="2" fillId="5" borderId="1" xfId="0" applyNumberFormat="1" applyFont="1" applyFill="1" applyBorder="1" applyAlignment="1" applyProtection="1">
      <alignment horizontal="center" vertical="center"/>
      <protection locked="0"/>
    </xf>
    <xf numFmtId="166" fontId="2" fillId="3" borderId="0" xfId="0" applyNumberFormat="1" applyFont="1" applyFill="1" applyBorder="1" applyAlignment="1" applyProtection="1">
      <alignment horizontal="center" vertical="center" wrapText="1"/>
    </xf>
    <xf numFmtId="8" fontId="2" fillId="3" borderId="0" xfId="0" applyNumberFormat="1" applyFont="1" applyFill="1" applyBorder="1" applyAlignment="1" applyProtection="1">
      <alignment horizontal="center" vertical="center" wrapText="1"/>
    </xf>
    <xf numFmtId="8" fontId="8" fillId="3" borderId="0" xfId="0" applyNumberFormat="1" applyFont="1" applyFill="1" applyBorder="1" applyAlignment="1" applyProtection="1">
      <alignment horizontal="center" vertical="center" wrapText="1"/>
    </xf>
    <xf numFmtId="168" fontId="2" fillId="3" borderId="0" xfId="0" applyNumberFormat="1" applyFont="1" applyFill="1" applyBorder="1" applyAlignment="1" applyProtection="1">
      <alignment horizontal="center" vertical="center" wrapText="1"/>
    </xf>
    <xf numFmtId="0" fontId="1" fillId="3" borderId="7" xfId="0" applyFont="1" applyFill="1" applyBorder="1" applyAlignment="1" applyProtection="1">
      <alignment horizontal="right" vertical="center"/>
    </xf>
    <xf numFmtId="168" fontId="5" fillId="3" borderId="9" xfId="1" applyNumberFormat="1" applyFont="1" applyFill="1" applyBorder="1" applyAlignment="1" applyProtection="1">
      <alignment horizontal="center" vertical="center"/>
    </xf>
    <xf numFmtId="168" fontId="5" fillId="3" borderId="0" xfId="1" applyNumberFormat="1" applyFont="1" applyFill="1" applyBorder="1" applyAlignment="1" applyProtection="1">
      <alignment horizontal="center" vertical="center"/>
    </xf>
    <xf numFmtId="168" fontId="5" fillId="3" borderId="5" xfId="1" applyNumberFormat="1" applyFont="1" applyFill="1" applyBorder="1" applyAlignment="1" applyProtection="1">
      <alignment horizontal="center" vertical="center"/>
    </xf>
    <xf numFmtId="0" fontId="1" fillId="3" borderId="0" xfId="0" applyFont="1" applyFill="1" applyBorder="1" applyAlignment="1" applyProtection="1">
      <alignment horizontal="left" vertical="center"/>
    </xf>
    <xf numFmtId="10" fontId="16" fillId="3" borderId="0" xfId="1" applyNumberFormat="1" applyFont="1" applyFill="1" applyBorder="1" applyAlignment="1" applyProtection="1">
      <alignment horizontal="center" vertical="center"/>
    </xf>
    <xf numFmtId="0" fontId="12" fillId="3" borderId="14" xfId="0" applyFont="1" applyFill="1" applyBorder="1" applyAlignment="1" applyProtection="1">
      <alignment horizontal="center" vertical="center" wrapText="1"/>
    </xf>
    <xf numFmtId="168" fontId="5" fillId="3" borderId="15" xfId="1" applyNumberFormat="1" applyFont="1" applyFill="1" applyBorder="1" applyAlignment="1" applyProtection="1">
      <alignment horizontal="center" vertical="center"/>
    </xf>
    <xf numFmtId="0" fontId="1" fillId="4" borderId="10" xfId="0" applyFont="1" applyFill="1" applyBorder="1" applyAlignment="1" applyProtection="1">
      <alignment horizontal="right" vertical="center"/>
    </xf>
    <xf numFmtId="0" fontId="1" fillId="4" borderId="8" xfId="0" applyFont="1" applyFill="1" applyBorder="1" applyAlignment="1" applyProtection="1">
      <alignment horizontal="center" vertical="center" wrapText="1"/>
    </xf>
    <xf numFmtId="0" fontId="1" fillId="4" borderId="11" xfId="0" applyFont="1" applyFill="1" applyBorder="1" applyAlignment="1" applyProtection="1">
      <alignment horizontal="center" vertical="center" wrapText="1"/>
    </xf>
    <xf numFmtId="38" fontId="5" fillId="3" borderId="7" xfId="0" applyNumberFormat="1" applyFont="1" applyFill="1" applyBorder="1" applyAlignment="1" applyProtection="1">
      <alignment horizontal="center" vertical="center"/>
    </xf>
    <xf numFmtId="168" fontId="5" fillId="3" borderId="7" xfId="1" applyNumberFormat="1" applyFont="1" applyFill="1" applyBorder="1" applyAlignment="1" applyProtection="1">
      <alignment horizontal="center" vertical="center"/>
    </xf>
    <xf numFmtId="168" fontId="5" fillId="3" borderId="6" xfId="1" applyNumberFormat="1" applyFont="1" applyFill="1" applyBorder="1" applyAlignment="1" applyProtection="1">
      <alignment horizontal="center" vertical="center"/>
    </xf>
    <xf numFmtId="38" fontId="5" fillId="3" borderId="12" xfId="0" applyNumberFormat="1" applyFont="1" applyFill="1" applyBorder="1" applyAlignment="1" applyProtection="1">
      <alignment horizontal="center" vertical="center"/>
    </xf>
    <xf numFmtId="168" fontId="5" fillId="3" borderId="12" xfId="1" applyNumberFormat="1" applyFont="1" applyFill="1" applyBorder="1" applyAlignment="1" applyProtection="1">
      <alignment horizontal="center" vertical="center"/>
    </xf>
    <xf numFmtId="168" fontId="5" fillId="3" borderId="13" xfId="1" applyNumberFormat="1" applyFont="1" applyFill="1" applyBorder="1" applyAlignment="1" applyProtection="1">
      <alignment horizontal="center" vertical="center"/>
    </xf>
    <xf numFmtId="164" fontId="12" fillId="3" borderId="0" xfId="0" applyNumberFormat="1" applyFont="1" applyFill="1" applyBorder="1" applyAlignment="1" applyProtection="1">
      <alignment horizontal="center"/>
    </xf>
    <xf numFmtId="0" fontId="0" fillId="3" borderId="0" xfId="0" applyFont="1" applyFill="1" applyBorder="1" applyAlignment="1" applyProtection="1">
      <alignment horizontal="center"/>
    </xf>
    <xf numFmtId="0" fontId="1" fillId="4" borderId="2" xfId="0" applyFont="1" applyFill="1" applyBorder="1" applyAlignment="1" applyProtection="1">
      <alignment horizontal="right" vertical="center"/>
    </xf>
    <xf numFmtId="0" fontId="1" fillId="4" borderId="1" xfId="0" applyFont="1" applyFill="1" applyBorder="1" applyAlignment="1" applyProtection="1">
      <alignment horizontal="center" vertical="center" wrapText="1"/>
    </xf>
    <xf numFmtId="0" fontId="1" fillId="4" borderId="4" xfId="0" applyFont="1" applyFill="1" applyBorder="1" applyAlignment="1" applyProtection="1">
      <alignment horizontal="center" vertical="center" wrapText="1"/>
    </xf>
    <xf numFmtId="0" fontId="4" fillId="3" borderId="0" xfId="0" applyFont="1" applyFill="1" applyBorder="1" applyAlignment="1" applyProtection="1">
      <alignment horizontal="left" vertical="center"/>
    </xf>
    <xf numFmtId="172" fontId="2" fillId="3" borderId="1" xfId="0" applyNumberFormat="1" applyFont="1" applyFill="1" applyBorder="1" applyAlignment="1" applyProtection="1">
      <alignment horizontal="center" vertical="center" wrapText="1"/>
      <protection locked="0"/>
    </xf>
    <xf numFmtId="0" fontId="0" fillId="3" borderId="10" xfId="0" applyFont="1" applyFill="1" applyBorder="1" applyAlignment="1" applyProtection="1">
      <alignment horizontal="right" vertical="center"/>
    </xf>
    <xf numFmtId="0" fontId="0" fillId="3" borderId="6" xfId="0" applyFont="1" applyFill="1" applyBorder="1" applyAlignment="1" applyProtection="1">
      <alignment horizontal="right" vertical="center"/>
    </xf>
    <xf numFmtId="38" fontId="7" fillId="3" borderId="15" xfId="0" applyNumberFormat="1" applyFont="1" applyFill="1" applyBorder="1" applyAlignment="1" applyProtection="1">
      <alignment horizontal="center" vertical="center" wrapText="1"/>
    </xf>
    <xf numFmtId="38" fontId="7" fillId="3" borderId="13" xfId="0" applyNumberFormat="1" applyFont="1" applyFill="1" applyBorder="1" applyAlignment="1" applyProtection="1">
      <alignment horizontal="center" vertical="center" wrapText="1"/>
    </xf>
    <xf numFmtId="0" fontId="1" fillId="4" borderId="10" xfId="0" applyFont="1" applyFill="1" applyBorder="1" applyAlignment="1" applyProtection="1">
      <alignment horizontal="center" vertical="center" wrapText="1"/>
    </xf>
    <xf numFmtId="38" fontId="7" fillId="3" borderId="5" xfId="0" applyNumberFormat="1" applyFont="1" applyFill="1" applyBorder="1" applyAlignment="1" applyProtection="1">
      <alignment horizontal="center" vertical="center" wrapText="1"/>
    </xf>
    <xf numFmtId="38" fontId="7" fillId="3" borderId="6" xfId="0" applyNumberFormat="1" applyFont="1" applyFill="1" applyBorder="1" applyAlignment="1" applyProtection="1">
      <alignment horizontal="center" vertical="center" wrapText="1"/>
    </xf>
    <xf numFmtId="38" fontId="5" fillId="3" borderId="5" xfId="0" applyNumberFormat="1" applyFont="1" applyFill="1" applyBorder="1" applyAlignment="1" applyProtection="1">
      <alignment horizontal="center" vertical="center" wrapText="1"/>
    </xf>
    <xf numFmtId="38" fontId="5" fillId="3" borderId="15" xfId="0" applyNumberFormat="1" applyFont="1" applyFill="1" applyBorder="1" applyAlignment="1" applyProtection="1">
      <alignment horizontal="center" vertical="center" wrapText="1"/>
    </xf>
    <xf numFmtId="38" fontId="5" fillId="3" borderId="6" xfId="0" applyNumberFormat="1" applyFont="1" applyFill="1" applyBorder="1" applyAlignment="1" applyProtection="1">
      <alignment horizontal="center" vertical="center" wrapText="1"/>
    </xf>
    <xf numFmtId="38" fontId="5" fillId="3" borderId="13" xfId="0" applyNumberFormat="1" applyFont="1" applyFill="1" applyBorder="1" applyAlignment="1" applyProtection="1">
      <alignment horizontal="center" vertical="center" wrapText="1"/>
    </xf>
    <xf numFmtId="168" fontId="5" fillId="3" borderId="0" xfId="0" applyNumberFormat="1" applyFont="1" applyFill="1" applyBorder="1" applyAlignment="1" applyProtection="1">
      <alignment horizontal="center" vertical="center" wrapText="1"/>
    </xf>
    <xf numFmtId="0" fontId="1" fillId="3" borderId="14" xfId="0" applyFont="1" applyFill="1" applyBorder="1" applyAlignment="1" applyProtection="1">
      <alignment vertical="center"/>
    </xf>
    <xf numFmtId="0" fontId="1" fillId="3" borderId="11" xfId="0" applyFont="1" applyFill="1" applyBorder="1" applyAlignment="1" applyProtection="1">
      <alignment vertical="center"/>
    </xf>
    <xf numFmtId="0" fontId="7" fillId="3" borderId="7" xfId="0" applyFont="1" applyFill="1" applyBorder="1" applyAlignment="1" applyProtection="1">
      <alignment horizontal="right" vertical="center"/>
    </xf>
    <xf numFmtId="166" fontId="7" fillId="3" borderId="12" xfId="0" applyNumberFormat="1" applyFont="1" applyFill="1" applyBorder="1" applyAlignment="1" applyProtection="1">
      <alignment horizontal="center" vertical="center" wrapText="1"/>
    </xf>
    <xf numFmtId="164" fontId="0" fillId="3" borderId="15" xfId="0" applyNumberFormat="1" applyFont="1" applyFill="1" applyBorder="1" applyAlignment="1" applyProtection="1">
      <alignment horizontal="center" vertical="center" wrapText="1"/>
    </xf>
    <xf numFmtId="164" fontId="0" fillId="3" borderId="13" xfId="0" applyNumberFormat="1" applyFont="1" applyFill="1" applyBorder="1" applyAlignment="1" applyProtection="1">
      <alignment horizontal="center" vertical="center" wrapText="1"/>
    </xf>
    <xf numFmtId="0" fontId="0" fillId="3" borderId="12" xfId="0" applyFont="1" applyFill="1" applyBorder="1" applyAlignment="1" applyProtection="1">
      <alignment horizontal="center" vertical="center" wrapText="1"/>
    </xf>
    <xf numFmtId="0" fontId="0" fillId="3" borderId="12" xfId="0" applyFill="1" applyBorder="1" applyProtection="1"/>
    <xf numFmtId="0" fontId="0" fillId="3" borderId="7" xfId="0" applyFill="1" applyBorder="1" applyProtection="1"/>
    <xf numFmtId="1" fontId="2" fillId="3" borderId="15" xfId="0" applyNumberFormat="1" applyFont="1" applyFill="1" applyBorder="1" applyAlignment="1" applyProtection="1">
      <alignment vertical="center"/>
    </xf>
    <xf numFmtId="1" fontId="2" fillId="3" borderId="13" xfId="0" applyNumberFormat="1" applyFont="1" applyFill="1" applyBorder="1" applyAlignment="1" applyProtection="1">
      <alignment vertical="center"/>
    </xf>
    <xf numFmtId="0" fontId="0" fillId="3" borderId="6" xfId="0" applyFont="1" applyFill="1" applyBorder="1" applyAlignment="1" applyProtection="1">
      <alignment horizontal="right" vertical="center" wrapText="1"/>
    </xf>
    <xf numFmtId="0" fontId="0" fillId="3" borderId="15" xfId="0" applyFill="1" applyBorder="1" applyProtection="1"/>
    <xf numFmtId="0" fontId="0" fillId="3" borderId="13" xfId="0" applyFill="1" applyBorder="1" applyProtection="1"/>
    <xf numFmtId="0" fontId="7" fillId="3" borderId="6" xfId="0" applyFont="1" applyFill="1" applyBorder="1" applyAlignment="1" applyProtection="1">
      <alignment horizontal="right" vertical="center"/>
    </xf>
    <xf numFmtId="8" fontId="7" fillId="3" borderId="15" xfId="0" applyNumberFormat="1" applyFont="1" applyFill="1" applyBorder="1" applyAlignment="1" applyProtection="1">
      <alignment horizontal="center" vertical="center"/>
    </xf>
    <xf numFmtId="166" fontId="7" fillId="3" borderId="13" xfId="0" applyNumberFormat="1" applyFont="1" applyFill="1" applyBorder="1" applyAlignment="1" applyProtection="1">
      <alignment horizontal="center" vertical="center" wrapText="1"/>
    </xf>
    <xf numFmtId="0" fontId="9" fillId="3" borderId="10" xfId="0" applyFont="1" applyFill="1" applyBorder="1" applyAlignment="1" applyProtection="1">
      <alignment horizontal="left" vertical="center"/>
    </xf>
    <xf numFmtId="0" fontId="1" fillId="4" borderId="2" xfId="0" applyFont="1" applyFill="1" applyBorder="1" applyAlignment="1" applyProtection="1">
      <alignment horizontal="center" vertical="center" wrapText="1"/>
    </xf>
    <xf numFmtId="0" fontId="0" fillId="0" borderId="0" xfId="0" applyAlignment="1">
      <alignment horizontal="center" vertical="center"/>
    </xf>
    <xf numFmtId="38" fontId="0" fillId="3" borderId="0" xfId="0" applyNumberFormat="1" applyFill="1" applyAlignment="1">
      <alignment horizontal="center" vertical="center" wrapText="1"/>
    </xf>
    <xf numFmtId="0" fontId="0" fillId="3" borderId="0" xfId="0" applyFill="1" applyAlignment="1">
      <alignment horizontal="center" vertical="center" wrapText="1"/>
    </xf>
    <xf numFmtId="0" fontId="1" fillId="3" borderId="0" xfId="0" applyFont="1" applyFill="1" applyAlignment="1">
      <alignment horizontal="left" vertical="center"/>
    </xf>
    <xf numFmtId="0" fontId="0" fillId="3" borderId="0" xfId="0" applyFill="1" applyAlignment="1">
      <alignment horizontal="left" vertical="center"/>
    </xf>
    <xf numFmtId="0" fontId="0" fillId="3" borderId="7"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6" xfId="0" applyFill="1" applyBorder="1" applyAlignment="1">
      <alignment horizontal="center" vertical="center" wrapText="1"/>
    </xf>
    <xf numFmtId="0" fontId="0" fillId="3" borderId="13" xfId="0" applyFill="1" applyBorder="1" applyAlignment="1">
      <alignment horizontal="center" vertical="center" wrapText="1"/>
    </xf>
    <xf numFmtId="38"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38" fontId="1" fillId="3" borderId="7" xfId="0" applyNumberFormat="1" applyFont="1" applyFill="1" applyBorder="1" applyAlignment="1">
      <alignment horizontal="center" vertical="center" wrapText="1"/>
    </xf>
    <xf numFmtId="38" fontId="1" fillId="3" borderId="12" xfId="0" applyNumberFormat="1" applyFont="1" applyFill="1" applyBorder="1" applyAlignment="1">
      <alignment horizontal="center" vertical="center" wrapText="1"/>
    </xf>
    <xf numFmtId="38" fontId="1" fillId="3" borderId="6" xfId="0" applyNumberFormat="1" applyFont="1" applyFill="1" applyBorder="1" applyAlignment="1">
      <alignment horizontal="center" vertical="center" wrapText="1"/>
    </xf>
    <xf numFmtId="38" fontId="1" fillId="3" borderId="13" xfId="0" applyNumberFormat="1" applyFont="1" applyFill="1" applyBorder="1" applyAlignment="1">
      <alignment horizontal="center" vertical="center" wrapText="1"/>
    </xf>
    <xf numFmtId="9" fontId="1" fillId="3" borderId="0" xfId="1" applyFont="1" applyFill="1" applyBorder="1" applyAlignment="1" applyProtection="1">
      <alignment horizontal="center"/>
    </xf>
    <xf numFmtId="38" fontId="1" fillId="3" borderId="0" xfId="0" applyNumberFormat="1" applyFont="1" applyFill="1" applyBorder="1" applyAlignment="1" applyProtection="1">
      <alignment horizontal="center" vertical="center" wrapText="1"/>
    </xf>
    <xf numFmtId="165" fontId="7" fillId="3" borderId="9" xfId="0" applyNumberFormat="1" applyFont="1" applyFill="1" applyBorder="1" applyAlignment="1" applyProtection="1">
      <alignment horizontal="center" vertical="center" wrapText="1"/>
    </xf>
    <xf numFmtId="165" fontId="7" fillId="3" borderId="7" xfId="0" applyNumberFormat="1" applyFont="1" applyFill="1" applyBorder="1" applyAlignment="1" applyProtection="1">
      <alignment horizontal="center" vertical="center" wrapText="1"/>
    </xf>
    <xf numFmtId="165" fontId="7" fillId="3" borderId="12" xfId="0" applyNumberFormat="1" applyFont="1" applyFill="1" applyBorder="1" applyAlignment="1" applyProtection="1">
      <alignment horizontal="center" vertical="center" wrapText="1"/>
    </xf>
    <xf numFmtId="169" fontId="5" fillId="3" borderId="5" xfId="0" applyNumberFormat="1" applyFont="1" applyFill="1" applyBorder="1" applyAlignment="1" applyProtection="1">
      <alignment horizontal="center" vertical="center" wrapText="1"/>
    </xf>
    <xf numFmtId="169" fontId="5" fillId="3" borderId="6" xfId="0" applyNumberFormat="1" applyFont="1" applyFill="1" applyBorder="1" applyAlignment="1" applyProtection="1">
      <alignment horizontal="center" vertical="center" wrapText="1"/>
    </xf>
    <xf numFmtId="169" fontId="5" fillId="3" borderId="13" xfId="0" applyNumberFormat="1" applyFont="1" applyFill="1" applyBorder="1" applyAlignment="1" applyProtection="1">
      <alignment horizontal="center" vertical="center" wrapText="1"/>
    </xf>
    <xf numFmtId="38" fontId="0" fillId="3" borderId="0" xfId="0" applyNumberFormat="1" applyFill="1" applyAlignment="1" applyProtection="1">
      <alignment horizontal="center" vertical="center" wrapText="1"/>
    </xf>
    <xf numFmtId="164" fontId="0" fillId="3" borderId="1" xfId="0" applyNumberFormat="1" applyFont="1" applyFill="1" applyBorder="1" applyAlignment="1" applyProtection="1">
      <alignment horizontal="right" vertical="center"/>
    </xf>
    <xf numFmtId="169" fontId="2" fillId="5" borderId="1" xfId="0" applyNumberFormat="1" applyFont="1" applyFill="1" applyBorder="1" applyAlignment="1" applyProtection="1">
      <alignment horizontal="center" vertical="center" wrapText="1"/>
      <protection locked="0"/>
    </xf>
    <xf numFmtId="0" fontId="1" fillId="4" borderId="14" xfId="0" applyFont="1" applyFill="1" applyBorder="1" applyAlignment="1" applyProtection="1">
      <alignment horizontal="center" vertical="center" wrapText="1"/>
    </xf>
    <xf numFmtId="0" fontId="1" fillId="4" borderId="8" xfId="0" applyFont="1" applyFill="1" applyBorder="1" applyAlignment="1" applyProtection="1">
      <alignment horizontal="right" vertical="center"/>
    </xf>
    <xf numFmtId="0" fontId="0" fillId="3" borderId="9" xfId="0" applyFont="1" applyFill="1" applyBorder="1" applyAlignment="1" applyProtection="1">
      <alignment horizontal="right" vertical="center"/>
    </xf>
    <xf numFmtId="0" fontId="0" fillId="3" borderId="5" xfId="0" applyFont="1" applyFill="1" applyBorder="1" applyAlignment="1" applyProtection="1">
      <alignment horizontal="right" vertical="center"/>
    </xf>
    <xf numFmtId="164" fontId="1" fillId="3" borderId="0" xfId="0" applyNumberFormat="1" applyFont="1" applyFill="1" applyBorder="1" applyAlignment="1" applyProtection="1">
      <alignment horizontal="center" wrapText="1"/>
    </xf>
    <xf numFmtId="164" fontId="1" fillId="4" borderId="10" xfId="0" applyNumberFormat="1" applyFont="1" applyFill="1" applyBorder="1" applyAlignment="1" applyProtection="1">
      <alignment horizontal="left" vertical="center"/>
    </xf>
    <xf numFmtId="164" fontId="1" fillId="4" borderId="8" xfId="0" applyNumberFormat="1" applyFont="1" applyFill="1" applyBorder="1" applyAlignment="1" applyProtection="1">
      <alignment horizontal="center" wrapText="1"/>
    </xf>
    <xf numFmtId="164" fontId="12" fillId="3" borderId="14" xfId="0" applyNumberFormat="1" applyFont="1" applyFill="1" applyBorder="1" applyAlignment="1" applyProtection="1">
      <alignment horizontal="center"/>
    </xf>
    <xf numFmtId="0" fontId="7" fillId="3" borderId="0" xfId="0" applyFont="1" applyFill="1" applyBorder="1" applyAlignment="1" applyProtection="1">
      <alignment horizontal="left" vertical="center" wrapText="1"/>
    </xf>
    <xf numFmtId="0" fontId="1" fillId="4" borderId="8" xfId="0" applyFont="1" applyFill="1" applyBorder="1" applyAlignment="1" applyProtection="1">
      <alignment horizontal="left" vertical="center" wrapText="1"/>
    </xf>
    <xf numFmtId="0" fontId="0" fillId="3" borderId="9" xfId="0" applyFont="1" applyFill="1" applyBorder="1" applyAlignment="1" applyProtection="1">
      <alignment horizontal="right" vertical="center" wrapText="1"/>
    </xf>
    <xf numFmtId="0" fontId="1" fillId="4" borderId="5" xfId="0" applyFont="1" applyFill="1" applyBorder="1" applyAlignment="1" applyProtection="1">
      <alignment horizontal="right" vertical="center" wrapText="1"/>
    </xf>
    <xf numFmtId="169" fontId="7" fillId="4" borderId="13" xfId="0" applyNumberFormat="1" applyFont="1" applyFill="1" applyBorder="1" applyAlignment="1" applyProtection="1">
      <alignment horizontal="center" vertical="center" wrapText="1"/>
    </xf>
    <xf numFmtId="169" fontId="10" fillId="4" borderId="5" xfId="0" applyNumberFormat="1" applyFont="1" applyFill="1" applyBorder="1" applyAlignment="1" applyProtection="1">
      <alignment horizontal="center" vertical="center" wrapText="1"/>
    </xf>
    <xf numFmtId="169" fontId="10" fillId="4" borderId="6" xfId="0" applyNumberFormat="1" applyFont="1" applyFill="1" applyBorder="1" applyAlignment="1" applyProtection="1">
      <alignment horizontal="center" vertical="center" wrapText="1"/>
    </xf>
    <xf numFmtId="169" fontId="10" fillId="4" borderId="13" xfId="0" applyNumberFormat="1" applyFont="1" applyFill="1" applyBorder="1" applyAlignment="1" applyProtection="1">
      <alignment horizontal="center" vertical="center" wrapText="1"/>
    </xf>
    <xf numFmtId="0" fontId="12" fillId="4" borderId="8" xfId="0" applyFont="1" applyFill="1" applyBorder="1" applyAlignment="1" applyProtection="1">
      <alignment horizontal="center" vertical="center" wrapText="1"/>
    </xf>
    <xf numFmtId="169" fontId="10" fillId="3" borderId="15" xfId="0" applyNumberFormat="1" applyFont="1" applyFill="1" applyBorder="1" applyAlignment="1" applyProtection="1">
      <alignment horizontal="center" vertical="center" wrapText="1"/>
    </xf>
    <xf numFmtId="164" fontId="4" fillId="3" borderId="0" xfId="0" applyNumberFormat="1" applyFont="1" applyFill="1" applyBorder="1" applyAlignment="1" applyProtection="1">
      <alignment vertical="center"/>
    </xf>
    <xf numFmtId="169" fontId="7" fillId="4" borderId="15" xfId="0" applyNumberFormat="1" applyFont="1" applyFill="1" applyBorder="1" applyAlignment="1" applyProtection="1">
      <alignment horizontal="center" vertical="center" wrapText="1"/>
    </xf>
    <xf numFmtId="0" fontId="10" fillId="3" borderId="0" xfId="0" applyFont="1" applyFill="1" applyBorder="1" applyAlignment="1" applyProtection="1">
      <alignment horizontal="right" vertical="center"/>
    </xf>
    <xf numFmtId="0" fontId="0" fillId="4" borderId="0" xfId="0" applyFill="1" applyAlignment="1">
      <alignment horizontal="center" vertical="center"/>
    </xf>
    <xf numFmtId="0" fontId="0" fillId="4" borderId="0" xfId="0" applyFill="1" applyAlignment="1">
      <alignment horizontal="right" vertical="center"/>
    </xf>
    <xf numFmtId="0" fontId="0" fillId="4" borderId="0" xfId="0" applyFill="1" applyAlignment="1">
      <alignment horizontal="left" vertical="center"/>
    </xf>
    <xf numFmtId="0" fontId="10" fillId="4" borderId="10" xfId="0" applyFont="1" applyFill="1" applyBorder="1" applyAlignment="1" applyProtection="1">
      <alignment horizontal="right" vertical="center"/>
    </xf>
    <xf numFmtId="0" fontId="10" fillId="4" borderId="6" xfId="0" applyFont="1" applyFill="1" applyBorder="1" applyAlignment="1" applyProtection="1">
      <alignment horizontal="right" vertical="center"/>
    </xf>
    <xf numFmtId="0" fontId="21" fillId="2" borderId="2" xfId="0" applyFont="1" applyFill="1" applyBorder="1" applyAlignment="1" applyProtection="1">
      <alignment horizontal="right" vertical="center"/>
    </xf>
    <xf numFmtId="164" fontId="21" fillId="2" borderId="2" xfId="0" applyNumberFormat="1" applyFont="1" applyFill="1" applyBorder="1" applyAlignment="1" applyProtection="1">
      <alignment horizontal="right" vertical="center"/>
    </xf>
    <xf numFmtId="6" fontId="21" fillId="2" borderId="3" xfId="0" applyNumberFormat="1" applyFont="1" applyFill="1" applyBorder="1" applyAlignment="1" applyProtection="1">
      <alignment horizontal="center" vertical="center" wrapText="1"/>
    </xf>
    <xf numFmtId="6" fontId="21" fillId="2" borderId="3" xfId="0" applyNumberFormat="1" applyFont="1" applyFill="1" applyBorder="1" applyAlignment="1" applyProtection="1">
      <alignment horizontal="center" vertical="center"/>
    </xf>
    <xf numFmtId="6" fontId="1" fillId="4" borderId="11" xfId="0" applyNumberFormat="1" applyFont="1" applyFill="1" applyBorder="1" applyAlignment="1" applyProtection="1">
      <alignment horizontal="center" vertical="center" wrapText="1"/>
    </xf>
    <xf numFmtId="6" fontId="7" fillId="3" borderId="0" xfId="0" applyNumberFormat="1" applyFont="1" applyFill="1" applyBorder="1" applyAlignment="1" applyProtection="1">
      <alignment horizontal="center" vertical="center" wrapText="1"/>
    </xf>
    <xf numFmtId="6" fontId="7" fillId="3" borderId="12" xfId="0" applyNumberFormat="1" applyFont="1" applyFill="1" applyBorder="1" applyAlignment="1" applyProtection="1">
      <alignment horizontal="center" vertical="center" wrapText="1"/>
    </xf>
    <xf numFmtId="6" fontId="7" fillId="4" borderId="13" xfId="0" applyNumberFormat="1" applyFont="1" applyFill="1" applyBorder="1" applyAlignment="1" applyProtection="1">
      <alignment horizontal="center" vertical="center" wrapText="1"/>
    </xf>
    <xf numFmtId="6" fontId="0" fillId="3" borderId="0" xfId="0" applyNumberFormat="1" applyFont="1" applyFill="1" applyBorder="1" applyAlignment="1" applyProtection="1">
      <alignment horizontal="center" vertical="center"/>
    </xf>
    <xf numFmtId="6" fontId="0" fillId="3" borderId="0" xfId="0" applyNumberFormat="1" applyFont="1" applyFill="1" applyBorder="1" applyAlignment="1" applyProtection="1">
      <alignment horizontal="center" vertical="center" wrapText="1"/>
    </xf>
    <xf numFmtId="6" fontId="2" fillId="5" borderId="3" xfId="0" applyNumberFormat="1" applyFont="1" applyFill="1" applyBorder="1" applyAlignment="1" applyProtection="1">
      <alignment horizontal="center" vertical="center" wrapText="1"/>
      <protection locked="0"/>
    </xf>
    <xf numFmtId="6" fontId="2" fillId="5" borderId="4" xfId="0" applyNumberFormat="1" applyFont="1" applyFill="1" applyBorder="1" applyAlignment="1" applyProtection="1">
      <alignment horizontal="center" vertical="center" wrapText="1"/>
      <protection locked="0"/>
    </xf>
    <xf numFmtId="6" fontId="2" fillId="3" borderId="0" xfId="0" applyNumberFormat="1" applyFont="1" applyFill="1" applyBorder="1" applyAlignment="1" applyProtection="1">
      <alignment horizontal="center" vertical="center" wrapText="1"/>
    </xf>
    <xf numFmtId="6" fontId="1" fillId="3" borderId="0" xfId="0" applyNumberFormat="1" applyFont="1" applyFill="1" applyBorder="1" applyAlignment="1" applyProtection="1">
      <alignment horizontal="center" wrapText="1"/>
    </xf>
    <xf numFmtId="6" fontId="7" fillId="3" borderId="0" xfId="0" applyNumberFormat="1" applyFont="1" applyFill="1" applyBorder="1" applyAlignment="1" applyProtection="1">
      <alignment horizontal="center" vertical="center"/>
    </xf>
    <xf numFmtId="6" fontId="7" fillId="3" borderId="12" xfId="0" applyNumberFormat="1" applyFont="1" applyFill="1" applyBorder="1" applyAlignment="1" applyProtection="1">
      <alignment horizontal="center" vertical="center"/>
    </xf>
    <xf numFmtId="6" fontId="0" fillId="4" borderId="0" xfId="0" applyNumberFormat="1" applyFill="1" applyAlignment="1">
      <alignment horizontal="center" vertical="center"/>
    </xf>
    <xf numFmtId="168" fontId="5" fillId="3" borderId="8" xfId="0" applyNumberFormat="1" applyFont="1" applyFill="1" applyBorder="1" applyAlignment="1" applyProtection="1">
      <alignment horizontal="center" vertical="center" wrapText="1"/>
    </xf>
    <xf numFmtId="168" fontId="5" fillId="3" borderId="10" xfId="0" applyNumberFormat="1" applyFont="1" applyFill="1" applyBorder="1" applyAlignment="1" applyProtection="1">
      <alignment horizontal="center" vertical="center" wrapText="1"/>
    </xf>
    <xf numFmtId="168" fontId="5" fillId="3" borderId="11" xfId="0" applyNumberFormat="1" applyFont="1" applyFill="1" applyBorder="1" applyAlignment="1" applyProtection="1">
      <alignment horizontal="center" vertical="center" wrapText="1"/>
    </xf>
    <xf numFmtId="168" fontId="5" fillId="3" borderId="9" xfId="1" applyNumberFormat="1" applyFont="1" applyFill="1" applyBorder="1" applyAlignment="1" applyProtection="1">
      <alignment horizontal="center" vertical="center" wrapText="1"/>
    </xf>
    <xf numFmtId="168" fontId="5" fillId="3" borderId="7" xfId="0" applyNumberFormat="1" applyFont="1" applyFill="1" applyBorder="1" applyAlignment="1" applyProtection="1">
      <alignment horizontal="center" vertical="center" wrapText="1"/>
    </xf>
    <xf numFmtId="168" fontId="5" fillId="3" borderId="12" xfId="0" applyNumberFormat="1" applyFont="1" applyFill="1" applyBorder="1" applyAlignment="1" applyProtection="1">
      <alignment horizontal="center" vertical="center" wrapText="1"/>
    </xf>
    <xf numFmtId="169" fontId="5" fillId="3" borderId="9" xfId="0" applyNumberFormat="1" applyFont="1" applyFill="1" applyBorder="1" applyAlignment="1" applyProtection="1">
      <alignment horizontal="center" vertical="center" wrapText="1"/>
    </xf>
    <xf numFmtId="169" fontId="5" fillId="3" borderId="7" xfId="0" applyNumberFormat="1" applyFont="1" applyFill="1" applyBorder="1" applyAlignment="1" applyProtection="1">
      <alignment horizontal="center" vertical="center" wrapText="1"/>
    </xf>
    <xf numFmtId="169" fontId="5" fillId="3" borderId="12" xfId="0" applyNumberFormat="1" applyFont="1" applyFill="1" applyBorder="1" applyAlignment="1" applyProtection="1">
      <alignment horizontal="center" vertical="center" wrapText="1"/>
    </xf>
    <xf numFmtId="170" fontId="5" fillId="3" borderId="0" xfId="0" applyNumberFormat="1" applyFont="1" applyFill="1" applyBorder="1" applyAlignment="1" applyProtection="1">
      <alignment horizontal="center" vertical="center" wrapText="1"/>
    </xf>
    <xf numFmtId="8" fontId="2" fillId="3" borderId="15" xfId="0" applyNumberFormat="1" applyFont="1" applyFill="1" applyBorder="1" applyAlignment="1" applyProtection="1">
      <alignment horizontal="center" vertical="center" wrapText="1"/>
    </xf>
    <xf numFmtId="0" fontId="22" fillId="7" borderId="0" xfId="2" applyFont="1" applyFill="1" applyAlignment="1" applyProtection="1">
      <alignment horizontal="center" vertical="center"/>
      <protection locked="0"/>
    </xf>
    <xf numFmtId="0" fontId="11" fillId="3" borderId="0" xfId="2" applyFill="1" applyAlignment="1" applyProtection="1">
      <alignment vertical="center"/>
    </xf>
    <xf numFmtId="6" fontId="5" fillId="3" borderId="5" xfId="0" applyNumberFormat="1" applyFont="1" applyFill="1" applyBorder="1" applyAlignment="1" applyProtection="1">
      <alignment horizontal="center" vertical="center" wrapText="1"/>
    </xf>
    <xf numFmtId="6" fontId="5" fillId="3" borderId="6" xfId="0" applyNumberFormat="1" applyFont="1" applyFill="1" applyBorder="1" applyAlignment="1" applyProtection="1">
      <alignment horizontal="center" vertical="center" wrapText="1"/>
    </xf>
    <xf numFmtId="6" fontId="5" fillId="3" borderId="13" xfId="0" applyNumberFormat="1" applyFont="1" applyFill="1" applyBorder="1" applyAlignment="1" applyProtection="1">
      <alignment horizontal="center" vertical="center" wrapText="1"/>
    </xf>
    <xf numFmtId="169" fontId="13" fillId="3" borderId="0" xfId="0" applyNumberFormat="1" applyFont="1" applyFill="1" applyBorder="1" applyAlignment="1" applyProtection="1">
      <alignment horizontal="center" vertical="center" wrapText="1"/>
    </xf>
    <xf numFmtId="0" fontId="14" fillId="3" borderId="0" xfId="0" applyFont="1" applyFill="1"/>
    <xf numFmtId="0" fontId="9" fillId="3" borderId="0" xfId="0" applyFont="1" applyFill="1"/>
    <xf numFmtId="0" fontId="2" fillId="3" borderId="0" xfId="0" applyFont="1" applyFill="1"/>
    <xf numFmtId="0" fontId="24" fillId="3" borderId="0" xfId="2" applyFont="1" applyFill="1" applyAlignment="1" applyProtection="1">
      <alignment horizontal="left" indent="1"/>
      <protection locked="0"/>
    </xf>
    <xf numFmtId="40" fontId="5" fillId="3" borderId="0" xfId="0" applyNumberFormat="1" applyFont="1" applyFill="1" applyBorder="1" applyAlignment="1" applyProtection="1">
      <alignment horizontal="center" vertical="center" wrapText="1"/>
    </xf>
    <xf numFmtId="0" fontId="17" fillId="4" borderId="0" xfId="2" applyFont="1" applyFill="1" applyAlignment="1" applyProtection="1">
      <alignment vertical="center"/>
    </xf>
    <xf numFmtId="0" fontId="23" fillId="3" borderId="0" xfId="0" applyFont="1" applyFill="1" applyAlignment="1">
      <alignment horizontal="left" vertical="center"/>
    </xf>
    <xf numFmtId="0" fontId="26" fillId="3" borderId="0" xfId="2" applyFont="1" applyFill="1" applyAlignment="1" applyProtection="1">
      <alignment horizontal="center" vertical="center"/>
      <protection locked="0"/>
    </xf>
    <xf numFmtId="0" fontId="11" fillId="3" borderId="0" xfId="2" applyFill="1" applyAlignment="1" applyProtection="1">
      <alignment horizontal="left" vertical="center"/>
    </xf>
    <xf numFmtId="0" fontId="2" fillId="3" borderId="0" xfId="0" applyFont="1" applyFill="1" applyAlignment="1">
      <alignment horizontal="left" vertical="center"/>
    </xf>
    <xf numFmtId="0" fontId="24" fillId="3" borderId="0" xfId="2" applyFont="1" applyFill="1" applyAlignment="1" applyProtection="1">
      <alignment horizontal="left" vertical="center"/>
    </xf>
    <xf numFmtId="164" fontId="1" fillId="3" borderId="0" xfId="0" applyNumberFormat="1" applyFont="1" applyFill="1" applyBorder="1" applyAlignment="1" applyProtection="1">
      <alignment horizontal="center" wrapText="1"/>
    </xf>
    <xf numFmtId="164" fontId="1" fillId="3" borderId="0" xfId="0" applyNumberFormat="1" applyFont="1" applyFill="1" applyBorder="1" applyAlignment="1" applyProtection="1">
      <alignment horizontal="center" wrapText="1"/>
    </xf>
    <xf numFmtId="0" fontId="11" fillId="3" borderId="0" xfId="2" applyFill="1" applyProtection="1"/>
    <xf numFmtId="169" fontId="0" fillId="3" borderId="9" xfId="0" applyNumberFormat="1" applyFont="1" applyFill="1" applyBorder="1" applyAlignment="1" applyProtection="1">
      <alignment horizontal="center" vertical="center" wrapText="1"/>
    </xf>
    <xf numFmtId="169" fontId="0" fillId="3" borderId="0" xfId="0" applyNumberFormat="1" applyFont="1" applyFill="1" applyBorder="1" applyAlignment="1" applyProtection="1">
      <alignment horizontal="center" vertical="center" wrapText="1"/>
    </xf>
    <xf numFmtId="6" fontId="5" fillId="3" borderId="0" xfId="0" applyNumberFormat="1" applyFont="1" applyFill="1" applyBorder="1" applyAlignment="1" applyProtection="1">
      <alignment horizontal="center" vertical="center" wrapText="1"/>
    </xf>
    <xf numFmtId="6" fontId="5" fillId="3" borderId="2" xfId="0" applyNumberFormat="1" applyFont="1" applyFill="1" applyBorder="1" applyAlignment="1" applyProtection="1">
      <alignment horizontal="center" vertical="center" wrapText="1"/>
    </xf>
    <xf numFmtId="6" fontId="5" fillId="3" borderId="4" xfId="0" applyNumberFormat="1" applyFont="1" applyFill="1" applyBorder="1" applyAlignment="1" applyProtection="1">
      <alignment horizontal="center" vertical="center" wrapText="1"/>
    </xf>
    <xf numFmtId="0" fontId="10" fillId="4" borderId="8" xfId="0" applyFont="1" applyFill="1" applyBorder="1" applyAlignment="1" applyProtection="1">
      <alignment horizontal="right" vertical="center"/>
    </xf>
    <xf numFmtId="0" fontId="10" fillId="4" borderId="5" xfId="0" applyFont="1" applyFill="1" applyBorder="1" applyAlignment="1" applyProtection="1">
      <alignment horizontal="right" vertical="center"/>
    </xf>
    <xf numFmtId="6" fontId="1" fillId="4" borderId="8" xfId="0" applyNumberFormat="1" applyFont="1" applyFill="1" applyBorder="1" applyAlignment="1" applyProtection="1">
      <alignment horizontal="center" vertical="center" wrapText="1"/>
    </xf>
    <xf numFmtId="6" fontId="7" fillId="3" borderId="9" xfId="0" applyNumberFormat="1" applyFont="1" applyFill="1" applyBorder="1" applyAlignment="1" applyProtection="1">
      <alignment horizontal="center" vertical="center" wrapText="1"/>
    </xf>
    <xf numFmtId="6" fontId="7" fillId="4" borderId="5" xfId="0" applyNumberFormat="1" applyFont="1" applyFill="1" applyBorder="1" applyAlignment="1" applyProtection="1">
      <alignment horizontal="center" vertical="center" wrapText="1"/>
    </xf>
    <xf numFmtId="6" fontId="1" fillId="4" borderId="10" xfId="0" applyNumberFormat="1" applyFont="1" applyFill="1" applyBorder="1" applyAlignment="1" applyProtection="1">
      <alignment horizontal="center" vertical="center" wrapText="1"/>
    </xf>
    <xf numFmtId="6" fontId="7" fillId="3" borderId="7" xfId="0" applyNumberFormat="1" applyFont="1" applyFill="1" applyBorder="1" applyAlignment="1" applyProtection="1">
      <alignment horizontal="center" vertical="center" wrapText="1"/>
    </xf>
    <xf numFmtId="6" fontId="7" fillId="4" borderId="6" xfId="0" applyNumberFormat="1" applyFont="1" applyFill="1" applyBorder="1" applyAlignment="1" applyProtection="1">
      <alignment horizontal="center" vertical="center" wrapText="1"/>
    </xf>
    <xf numFmtId="6" fontId="7" fillId="3" borderId="9" xfId="0" applyNumberFormat="1" applyFont="1" applyFill="1" applyBorder="1" applyAlignment="1" applyProtection="1">
      <alignment horizontal="center" vertical="center"/>
    </xf>
    <xf numFmtId="6" fontId="7" fillId="3" borderId="7" xfId="0" applyNumberFormat="1" applyFont="1" applyFill="1" applyBorder="1" applyAlignment="1" applyProtection="1">
      <alignment horizontal="center" vertical="center"/>
    </xf>
    <xf numFmtId="6" fontId="21" fillId="2" borderId="1" xfId="0" applyNumberFormat="1" applyFont="1" applyFill="1" applyBorder="1" applyAlignment="1" applyProtection="1">
      <alignment horizontal="center" vertical="center" wrapText="1"/>
    </xf>
    <xf numFmtId="6" fontId="21" fillId="4" borderId="1" xfId="0" applyNumberFormat="1" applyFont="1" applyFill="1" applyBorder="1" applyAlignment="1" applyProtection="1">
      <alignment horizontal="center" vertical="center" wrapText="1"/>
    </xf>
    <xf numFmtId="0" fontId="21" fillId="2" borderId="1" xfId="0" applyFont="1" applyFill="1" applyBorder="1" applyAlignment="1" applyProtection="1">
      <alignment horizontal="right" vertical="center"/>
    </xf>
    <xf numFmtId="6" fontId="21" fillId="4" borderId="1" xfId="0" applyNumberFormat="1" applyFont="1" applyFill="1" applyBorder="1" applyAlignment="1" applyProtection="1">
      <alignment horizontal="center" vertical="center"/>
    </xf>
    <xf numFmtId="6" fontId="21" fillId="4" borderId="4" xfId="0" applyNumberFormat="1" applyFont="1" applyFill="1" applyBorder="1" applyAlignment="1" applyProtection="1">
      <alignment horizontal="center" vertical="center" wrapText="1"/>
    </xf>
    <xf numFmtId="6" fontId="21" fillId="4" borderId="4" xfId="0" applyNumberFormat="1" applyFont="1" applyFill="1" applyBorder="1" applyAlignment="1" applyProtection="1">
      <alignment horizontal="center" vertical="center"/>
    </xf>
    <xf numFmtId="6" fontId="1" fillId="3" borderId="0" xfId="0" applyNumberFormat="1" applyFont="1" applyFill="1" applyBorder="1" applyAlignment="1" applyProtection="1">
      <alignment horizontal="center" vertical="center" wrapText="1"/>
    </xf>
    <xf numFmtId="6" fontId="21" fillId="3" borderId="0" xfId="0" applyNumberFormat="1" applyFont="1" applyFill="1" applyBorder="1" applyAlignment="1" applyProtection="1">
      <alignment horizontal="center" vertical="center" wrapText="1"/>
    </xf>
    <xf numFmtId="6" fontId="21" fillId="3" borderId="0" xfId="0" applyNumberFormat="1" applyFont="1" applyFill="1" applyBorder="1" applyAlignment="1" applyProtection="1">
      <alignment horizontal="center" vertical="center"/>
    </xf>
    <xf numFmtId="6" fontId="29" fillId="3" borderId="0" xfId="0" applyNumberFormat="1" applyFont="1" applyFill="1" applyBorder="1" applyAlignment="1" applyProtection="1">
      <alignment horizontal="center" vertical="center" wrapText="1"/>
    </xf>
    <xf numFmtId="0" fontId="10" fillId="4" borderId="1" xfId="0" applyFont="1" applyFill="1" applyBorder="1" applyAlignment="1" applyProtection="1">
      <alignment horizontal="right" vertical="center"/>
    </xf>
    <xf numFmtId="6" fontId="2" fillId="5" borderId="1" xfId="0" applyNumberFormat="1" applyFont="1" applyFill="1" applyBorder="1" applyAlignment="1" applyProtection="1">
      <alignment horizontal="center" vertical="center" wrapText="1"/>
      <protection locked="0"/>
    </xf>
    <xf numFmtId="0" fontId="2" fillId="5" borderId="2" xfId="0" applyFont="1" applyFill="1" applyBorder="1" applyAlignment="1" applyProtection="1">
      <alignment horizontal="right" vertical="center"/>
      <protection locked="0"/>
    </xf>
    <xf numFmtId="40" fontId="5" fillId="3" borderId="9" xfId="0" applyNumberFormat="1" applyFont="1" applyFill="1" applyBorder="1" applyAlignment="1" applyProtection="1">
      <alignment horizontal="center" vertical="center" wrapText="1"/>
    </xf>
    <xf numFmtId="40" fontId="5" fillId="3" borderId="7" xfId="0" applyNumberFormat="1" applyFont="1" applyFill="1" applyBorder="1" applyAlignment="1" applyProtection="1">
      <alignment horizontal="center" vertical="center" wrapText="1"/>
    </xf>
    <xf numFmtId="40" fontId="5" fillId="3" borderId="12" xfId="0" applyNumberFormat="1" applyFont="1" applyFill="1" applyBorder="1" applyAlignment="1" applyProtection="1">
      <alignment horizontal="center" vertical="center" wrapText="1"/>
    </xf>
    <xf numFmtId="8" fontId="5" fillId="3" borderId="9" xfId="0" applyNumberFormat="1" applyFont="1" applyFill="1" applyBorder="1" applyAlignment="1" applyProtection="1">
      <alignment horizontal="center" vertical="center" wrapText="1"/>
    </xf>
    <xf numFmtId="8" fontId="5" fillId="3" borderId="7" xfId="0" applyNumberFormat="1" applyFont="1" applyFill="1" applyBorder="1" applyAlignment="1" applyProtection="1">
      <alignment horizontal="center" vertical="center" wrapText="1"/>
    </xf>
    <xf numFmtId="8" fontId="5" fillId="3" borderId="12" xfId="0" applyNumberFormat="1" applyFont="1" applyFill="1" applyBorder="1" applyAlignment="1" applyProtection="1">
      <alignment horizontal="center" vertical="center" wrapText="1"/>
    </xf>
    <xf numFmtId="0" fontId="17" fillId="6" borderId="0" xfId="2" applyFont="1" applyFill="1" applyAlignment="1" applyProtection="1">
      <alignment horizontal="center" vertical="center"/>
      <protection locked="0"/>
    </xf>
    <xf numFmtId="0" fontId="22" fillId="7" borderId="0" xfId="2" applyFont="1" applyFill="1" applyAlignment="1" applyProtection="1">
      <alignment horizontal="center" vertical="center"/>
      <protection locked="0"/>
    </xf>
    <xf numFmtId="169" fontId="0" fillId="4" borderId="0" xfId="0" applyNumberFormat="1" applyFill="1" applyAlignment="1">
      <alignment horizontal="center" vertical="center" wrapText="1"/>
    </xf>
    <xf numFmtId="6" fontId="0" fillId="4" borderId="0" xfId="0" applyNumberFormat="1" applyFill="1" applyAlignment="1">
      <alignment horizontal="center" vertical="center" wrapText="1"/>
    </xf>
    <xf numFmtId="165" fontId="5" fillId="3" borderId="9" xfId="0" applyNumberFormat="1" applyFont="1" applyFill="1" applyBorder="1" applyAlignment="1" applyProtection="1">
      <alignment horizontal="center" vertical="center" wrapText="1"/>
    </xf>
    <xf numFmtId="168" fontId="12" fillId="3" borderId="0" xfId="0" applyNumberFormat="1" applyFont="1" applyFill="1" applyBorder="1" applyAlignment="1" applyProtection="1">
      <alignment horizontal="center" vertical="center" wrapText="1"/>
    </xf>
    <xf numFmtId="165" fontId="5" fillId="3" borderId="7" xfId="0" applyNumberFormat="1" applyFont="1" applyFill="1" applyBorder="1" applyAlignment="1" applyProtection="1">
      <alignment horizontal="center" vertical="center" wrapText="1"/>
    </xf>
    <xf numFmtId="165" fontId="5" fillId="3" borderId="12" xfId="0" applyNumberFormat="1" applyFont="1" applyFill="1" applyBorder="1" applyAlignment="1" applyProtection="1">
      <alignment horizontal="center" vertical="center" wrapText="1"/>
    </xf>
    <xf numFmtId="0" fontId="0" fillId="3" borderId="0" xfId="0" applyFont="1" applyFill="1" applyBorder="1" applyAlignment="1" applyProtection="1">
      <alignment horizontal="right" vertical="center" wrapText="1"/>
    </xf>
    <xf numFmtId="168" fontId="2" fillId="5" borderId="1" xfId="0" applyNumberFormat="1" applyFont="1" applyFill="1" applyBorder="1" applyAlignment="1" applyProtection="1">
      <alignment horizontal="center" vertical="center" wrapText="1"/>
      <protection locked="0"/>
    </xf>
    <xf numFmtId="0" fontId="30" fillId="3" borderId="0" xfId="0" applyFont="1" applyFill="1" applyBorder="1" applyAlignment="1" applyProtection="1">
      <alignment horizontal="center" vertical="center" wrapText="1"/>
    </xf>
    <xf numFmtId="164" fontId="31" fillId="3" borderId="12" xfId="0" applyNumberFormat="1" applyFont="1" applyFill="1" applyBorder="1" applyAlignment="1" applyProtection="1">
      <alignment horizontal="center" vertical="center" wrapText="1"/>
    </xf>
    <xf numFmtId="0" fontId="30" fillId="3" borderId="14" xfId="0" applyFont="1" applyFill="1" applyBorder="1" applyAlignment="1" applyProtection="1">
      <alignment horizontal="center" vertical="center" wrapText="1"/>
    </xf>
    <xf numFmtId="164" fontId="1" fillId="3" borderId="0" xfId="0" applyNumberFormat="1" applyFont="1" applyFill="1" applyBorder="1" applyAlignment="1" applyProtection="1">
      <alignment horizontal="center" wrapText="1"/>
    </xf>
    <xf numFmtId="10" fontId="7" fillId="3" borderId="12" xfId="1" applyNumberFormat="1" applyFont="1" applyFill="1" applyBorder="1" applyAlignment="1" applyProtection="1">
      <alignment horizontal="center" vertical="center"/>
    </xf>
    <xf numFmtId="10" fontId="7" fillId="3" borderId="13" xfId="1" applyNumberFormat="1" applyFont="1" applyFill="1" applyBorder="1" applyAlignment="1" applyProtection="1">
      <alignment horizontal="center" vertical="center"/>
    </xf>
    <xf numFmtId="164" fontId="0" fillId="3" borderId="10" xfId="0" applyNumberFormat="1" applyFont="1" applyFill="1" applyBorder="1" applyAlignment="1" applyProtection="1">
      <alignment horizontal="right" vertical="center"/>
    </xf>
    <xf numFmtId="168" fontId="7" fillId="3" borderId="14" xfId="1" applyNumberFormat="1" applyFont="1" applyFill="1" applyBorder="1" applyAlignment="1" applyProtection="1">
      <alignment horizontal="center" vertical="center"/>
    </xf>
    <xf numFmtId="10" fontId="7" fillId="3" borderId="11" xfId="1" applyNumberFormat="1" applyFont="1" applyFill="1" applyBorder="1" applyAlignment="1" applyProtection="1">
      <alignment horizontal="center" vertical="center"/>
    </xf>
    <xf numFmtId="10" fontId="2" fillId="5" borderId="1" xfId="0" applyNumberFormat="1" applyFont="1" applyFill="1" applyBorder="1" applyAlignment="1" applyProtection="1">
      <alignment horizontal="center" vertical="center"/>
      <protection locked="0"/>
    </xf>
    <xf numFmtId="0" fontId="1" fillId="3" borderId="0" xfId="0" applyFont="1" applyFill="1" applyBorder="1" applyAlignment="1" applyProtection="1">
      <alignment vertical="center" wrapText="1"/>
    </xf>
    <xf numFmtId="10" fontId="7" fillId="3" borderId="8" xfId="1" applyNumberFormat="1" applyFont="1" applyFill="1" applyBorder="1" applyAlignment="1" applyProtection="1">
      <alignment horizontal="center" vertical="center"/>
    </xf>
    <xf numFmtId="10" fontId="7" fillId="3" borderId="9" xfId="1" applyNumberFormat="1" applyFont="1" applyFill="1" applyBorder="1" applyAlignment="1" applyProtection="1">
      <alignment horizontal="center" vertical="center"/>
    </xf>
    <xf numFmtId="10" fontId="7" fillId="3" borderId="5" xfId="1" applyNumberFormat="1" applyFont="1" applyFill="1" applyBorder="1" applyAlignment="1" applyProtection="1">
      <alignment horizontal="center" vertical="center"/>
    </xf>
    <xf numFmtId="10" fontId="7" fillId="3" borderId="10" xfId="1" applyNumberFormat="1" applyFont="1" applyFill="1" applyBorder="1" applyAlignment="1" applyProtection="1">
      <alignment horizontal="center" vertical="center"/>
    </xf>
    <xf numFmtId="10" fontId="7" fillId="3" borderId="7" xfId="1" applyNumberFormat="1" applyFont="1" applyFill="1" applyBorder="1" applyAlignment="1" applyProtection="1">
      <alignment horizontal="center" vertical="center"/>
    </xf>
    <xf numFmtId="10" fontId="7" fillId="3" borderId="6" xfId="1" applyNumberFormat="1" applyFont="1" applyFill="1" applyBorder="1" applyAlignment="1" applyProtection="1">
      <alignment horizontal="center" vertical="center"/>
    </xf>
    <xf numFmtId="0" fontId="0" fillId="3" borderId="7" xfId="0" applyFont="1" applyFill="1" applyBorder="1" applyAlignment="1" applyProtection="1">
      <alignment horizontal="right" vertical="center" wrapText="1"/>
    </xf>
    <xf numFmtId="0" fontId="1" fillId="3" borderId="9" xfId="0" applyFont="1" applyFill="1" applyBorder="1" applyAlignment="1" applyProtection="1">
      <alignment vertical="center" wrapText="1"/>
    </xf>
    <xf numFmtId="0" fontId="1" fillId="3" borderId="7" xfId="0" applyFont="1" applyFill="1" applyBorder="1" applyAlignment="1" applyProtection="1">
      <alignment vertical="center" wrapText="1"/>
    </xf>
    <xf numFmtId="169" fontId="2" fillId="3" borderId="12" xfId="0" applyNumberFormat="1" applyFont="1" applyFill="1" applyBorder="1" applyAlignment="1" applyProtection="1">
      <alignment horizontal="center" vertical="center" wrapText="1"/>
    </xf>
    <xf numFmtId="0" fontId="17" fillId="3" borderId="0" xfId="2" applyFont="1" applyFill="1" applyAlignment="1" applyProtection="1">
      <alignment vertical="center"/>
    </xf>
    <xf numFmtId="169" fontId="1" fillId="3" borderId="12" xfId="0" applyNumberFormat="1" applyFont="1" applyFill="1" applyBorder="1" applyAlignment="1" applyProtection="1">
      <alignment horizontal="center" vertical="center" wrapText="1"/>
    </xf>
    <xf numFmtId="38" fontId="2" fillId="5" borderId="1" xfId="0" applyNumberFormat="1" applyFont="1" applyFill="1" applyBorder="1" applyAlignment="1" applyProtection="1">
      <alignment horizontal="center" vertical="center"/>
      <protection locked="0"/>
    </xf>
    <xf numFmtId="168" fontId="8" fillId="5" borderId="1" xfId="0" applyNumberFormat="1" applyFont="1" applyFill="1" applyBorder="1" applyAlignment="1" applyProtection="1">
      <alignment horizontal="center" vertical="center" wrapText="1"/>
      <protection locked="0"/>
    </xf>
    <xf numFmtId="8" fontId="8" fillId="5" borderId="1" xfId="0" applyNumberFormat="1" applyFont="1" applyFill="1" applyBorder="1" applyAlignment="1" applyProtection="1">
      <alignment horizontal="center" vertical="center" wrapText="1"/>
      <protection locked="0"/>
    </xf>
    <xf numFmtId="2" fontId="2" fillId="5" borderId="1" xfId="0" applyNumberFormat="1" applyFont="1" applyFill="1" applyBorder="1" applyAlignment="1" applyProtection="1">
      <alignment horizontal="center" vertical="center" wrapText="1"/>
      <protection locked="0"/>
    </xf>
    <xf numFmtId="0" fontId="28" fillId="5" borderId="1" xfId="0" applyFont="1" applyFill="1" applyBorder="1" applyAlignment="1" applyProtection="1">
      <alignment horizontal="center" vertical="center" wrapText="1"/>
      <protection locked="0"/>
    </xf>
    <xf numFmtId="40" fontId="2" fillId="5" borderId="1" xfId="0" applyNumberFormat="1" applyFont="1" applyFill="1" applyBorder="1" applyAlignment="1" applyProtection="1">
      <alignment horizontal="center" vertical="center" wrapText="1"/>
      <protection locked="0"/>
    </xf>
    <xf numFmtId="0" fontId="2" fillId="5" borderId="1" xfId="0" applyFont="1" applyFill="1" applyBorder="1" applyAlignment="1" applyProtection="1">
      <alignment horizontal="right" vertical="center"/>
      <protection locked="0"/>
    </xf>
    <xf numFmtId="169" fontId="7" fillId="4" borderId="6" xfId="0" applyNumberFormat="1" applyFont="1" applyFill="1" applyBorder="1" applyAlignment="1" applyProtection="1">
      <alignment horizontal="center" vertical="center" wrapText="1"/>
    </xf>
    <xf numFmtId="169" fontId="2" fillId="5" borderId="4" xfId="0" applyNumberFormat="1" applyFont="1" applyFill="1" applyBorder="1" applyAlignment="1" applyProtection="1">
      <alignment horizontal="center" vertical="center" wrapText="1"/>
      <protection locked="0"/>
    </xf>
    <xf numFmtId="0" fontId="9" fillId="4" borderId="8" xfId="0" applyFont="1" applyFill="1" applyBorder="1" applyAlignment="1" applyProtection="1">
      <alignment horizontal="right" vertical="center"/>
    </xf>
    <xf numFmtId="0" fontId="1" fillId="4" borderId="5" xfId="0" applyFont="1" applyFill="1" applyBorder="1" applyAlignment="1" applyProtection="1">
      <alignment horizontal="right" vertical="center"/>
    </xf>
    <xf numFmtId="169" fontId="2" fillId="5" borderId="5" xfId="0" applyNumberFormat="1"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xf>
    <xf numFmtId="0" fontId="14" fillId="3" borderId="0" xfId="0" applyFont="1" applyFill="1" applyAlignment="1">
      <alignment horizontal="left" vertical="center" indent="3"/>
    </xf>
    <xf numFmtId="0" fontId="0" fillId="3" borderId="0" xfId="0" applyFill="1" applyAlignment="1">
      <alignment horizontal="left" vertical="center" indent="3"/>
    </xf>
    <xf numFmtId="0" fontId="0" fillId="3" borderId="0" xfId="0" applyFill="1" applyAlignment="1">
      <alignment horizontal="right" vertical="center"/>
    </xf>
    <xf numFmtId="0" fontId="7" fillId="3" borderId="0" xfId="0" applyFont="1" applyFill="1" applyAlignment="1">
      <alignment horizontal="left" vertical="center" wrapText="1"/>
    </xf>
    <xf numFmtId="0" fontId="10" fillId="3" borderId="0" xfId="0" applyFont="1" applyFill="1" applyAlignment="1">
      <alignment horizontal="left" vertical="center" wrapText="1"/>
    </xf>
    <xf numFmtId="0" fontId="25" fillId="3" borderId="0" xfId="2" applyFont="1" applyFill="1" applyAlignment="1" applyProtection="1">
      <alignment horizontal="left" vertical="center" indent="7"/>
      <protection locked="0"/>
    </xf>
    <xf numFmtId="0" fontId="2" fillId="5" borderId="1" xfId="0" applyFont="1" applyFill="1" applyBorder="1" applyAlignment="1" applyProtection="1">
      <alignment horizontal="left" vertical="center"/>
      <protection locked="0"/>
    </xf>
    <xf numFmtId="0" fontId="17" fillId="6" borderId="0" xfId="2" applyFont="1" applyFill="1" applyAlignment="1" applyProtection="1">
      <alignment horizontal="center" vertical="center"/>
      <protection locked="0"/>
    </xf>
    <xf numFmtId="0" fontId="27" fillId="7" borderId="0" xfId="2" applyFont="1" applyFill="1" applyAlignment="1" applyProtection="1">
      <alignment horizontal="center" vertical="center"/>
      <protection locked="0"/>
    </xf>
    <xf numFmtId="164" fontId="1" fillId="3" borderId="0" xfId="0" applyNumberFormat="1" applyFont="1" applyFill="1" applyBorder="1" applyAlignment="1" applyProtection="1">
      <alignment horizontal="center" wrapText="1"/>
    </xf>
    <xf numFmtId="164" fontId="1" fillId="3" borderId="0" xfId="0" applyNumberFormat="1" applyFont="1" applyFill="1" applyBorder="1" applyAlignment="1" applyProtection="1">
      <alignment horizontal="center"/>
    </xf>
    <xf numFmtId="0" fontId="22" fillId="7" borderId="0" xfId="2" applyFont="1" applyFill="1" applyAlignment="1" applyProtection="1">
      <alignment horizontal="center" vertical="center"/>
      <protection locked="0"/>
    </xf>
    <xf numFmtId="164" fontId="1" fillId="3" borderId="15" xfId="0" applyNumberFormat="1" applyFont="1" applyFill="1" applyBorder="1" applyAlignment="1" applyProtection="1">
      <alignment horizontal="center" wrapText="1"/>
    </xf>
    <xf numFmtId="0" fontId="17" fillId="6" borderId="0" xfId="2" applyFont="1" applyFill="1" applyAlignment="1" applyProtection="1">
      <alignment horizontal="left" vertical="center"/>
      <protection locked="0"/>
    </xf>
    <xf numFmtId="0" fontId="22" fillId="7" borderId="0" xfId="2" applyFont="1" applyFill="1" applyAlignment="1" applyProtection="1">
      <alignment horizontal="left" vertical="center"/>
      <protection locked="0"/>
    </xf>
    <xf numFmtId="0" fontId="1" fillId="4" borderId="1" xfId="0" applyFont="1" applyFill="1" applyBorder="1" applyAlignment="1">
      <alignment horizontal="center" vertical="center" wrapText="1"/>
    </xf>
    <xf numFmtId="38" fontId="1" fillId="4" borderId="1" xfId="0" applyNumberFormat="1" applyFont="1" applyFill="1" applyBorder="1" applyAlignment="1">
      <alignment horizontal="center" vertical="center" wrapText="1"/>
    </xf>
    <xf numFmtId="164" fontId="1" fillId="3" borderId="0" xfId="0" applyNumberFormat="1" applyFont="1" applyFill="1" applyBorder="1" applyAlignment="1" applyProtection="1">
      <alignment horizontal="center" vertical="center" wrapText="1"/>
    </xf>
    <xf numFmtId="6" fontId="1" fillId="3" borderId="0" xfId="0" applyNumberFormat="1" applyFont="1" applyFill="1" applyBorder="1" applyAlignment="1" applyProtection="1">
      <alignment horizontal="center" wrapText="1"/>
    </xf>
    <xf numFmtId="6" fontId="1" fillId="3" borderId="0" xfId="0" applyNumberFormat="1" applyFont="1" applyFill="1" applyBorder="1" applyAlignment="1" applyProtection="1">
      <alignment horizontal="center"/>
    </xf>
    <xf numFmtId="6" fontId="21" fillId="2" borderId="2" xfId="0" applyNumberFormat="1" applyFont="1" applyFill="1" applyBorder="1" applyAlignment="1" applyProtection="1">
      <alignment horizontal="center" vertical="center" wrapText="1"/>
    </xf>
    <xf numFmtId="6" fontId="21" fillId="2" borderId="4" xfId="0" applyNumberFormat="1" applyFont="1" applyFill="1" applyBorder="1" applyAlignment="1" applyProtection="1">
      <alignment horizontal="center" vertical="center" wrapText="1"/>
    </xf>
    <xf numFmtId="0" fontId="21" fillId="4" borderId="2" xfId="0" applyFont="1" applyFill="1" applyBorder="1" applyAlignment="1" applyProtection="1">
      <alignment horizontal="right" vertical="center"/>
    </xf>
    <xf numFmtId="0" fontId="21" fillId="4" borderId="4" xfId="0" applyFont="1" applyFill="1" applyBorder="1" applyAlignment="1" applyProtection="1">
      <alignment horizontal="right" vertical="center"/>
    </xf>
    <xf numFmtId="6" fontId="21" fillId="2" borderId="14" xfId="0" applyNumberFormat="1" applyFont="1" applyFill="1" applyBorder="1" applyAlignment="1" applyProtection="1">
      <alignment horizontal="center" vertical="center" wrapText="1"/>
    </xf>
    <xf numFmtId="0" fontId="21" fillId="2" borderId="14" xfId="0" applyFont="1" applyFill="1" applyBorder="1" applyAlignment="1" applyProtection="1">
      <alignment horizontal="center" vertical="center" wrapText="1"/>
    </xf>
    <xf numFmtId="169" fontId="21" fillId="2" borderId="2" xfId="0" applyNumberFormat="1" applyFont="1" applyFill="1" applyBorder="1" applyAlignment="1" applyProtection="1">
      <alignment horizontal="center" vertical="center" wrapText="1"/>
    </xf>
    <xf numFmtId="169" fontId="21" fillId="2" borderId="4" xfId="0" applyNumberFormat="1" applyFont="1" applyFill="1" applyBorder="1" applyAlignment="1" applyProtection="1">
      <alignment horizontal="center" vertical="center" wrapText="1"/>
    </xf>
  </cellXfs>
  <cellStyles count="3">
    <cellStyle name="Hyperlink" xfId="2" builtinId="8"/>
    <cellStyle name="Normal" xfId="0" builtinId="0"/>
    <cellStyle name="Percent" xfId="1" builtinId="5"/>
  </cellStyles>
  <dxfs count="12">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
      <font>
        <b/>
        <i val="0"/>
        <color theme="0"/>
      </font>
      <fill>
        <patternFill>
          <bgColor rgb="FFC00000"/>
        </patternFill>
      </fill>
    </dxf>
  </dxfs>
  <tableStyles count="0" defaultTableStyle="TableStyleMedium2" defaultPivotStyle="PivotStyleLight16"/>
  <colors>
    <mruColors>
      <color rgb="FF12AA3D"/>
      <color rgb="FFCC0000"/>
      <color rgb="FFFEDEDE"/>
      <color rgb="FFFC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REVENUE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CHARTS!$C$2</c:f>
              <c:strCache>
                <c:ptCount val="1"/>
                <c:pt idx="0">
                  <c:v>CURRENT</c:v>
                </c:pt>
              </c:strCache>
            </c:strRef>
          </c:tx>
          <c:spPr>
            <a:solidFill>
              <a:srgbClr val="92D050"/>
            </a:solidFill>
            <a:ln w="3175">
              <a:solidFill>
                <a:schemeClr val="tx1">
                  <a:lumMod val="50000"/>
                  <a:lumOff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CHARTS!$B$3:$B$6</c:f>
              <c:strCache>
                <c:ptCount val="4"/>
                <c:pt idx="0">
                  <c:v>SCHOOL TYPE #1</c:v>
                </c:pt>
                <c:pt idx="1">
                  <c:v>SCHOOL TYPE #2</c:v>
                </c:pt>
                <c:pt idx="2">
                  <c:v>SCHOOL TYPE #3</c:v>
                </c:pt>
                <c:pt idx="3">
                  <c:v>SCHOOL TYPE #4</c:v>
                </c:pt>
              </c:strCache>
            </c:strRef>
          </c:cat>
          <c:val>
            <c:numRef>
              <c:f>CHARTS!$C$3:$C$6</c:f>
              <c:numCache>
                <c:formatCode>"$"#,##0</c:formatCode>
                <c:ptCount val="4"/>
                <c:pt idx="0">
                  <c:v>0</c:v>
                </c:pt>
                <c:pt idx="1">
                  <c:v>0</c:v>
                </c:pt>
                <c:pt idx="2">
                  <c:v>0</c:v>
                </c:pt>
                <c:pt idx="3" formatCode="&quot;$&quot;#,##0_);[Red]\(&quot;$&quot;#,##0\)">
                  <c:v>0</c:v>
                </c:pt>
              </c:numCache>
            </c:numRef>
          </c:val>
          <c:extLst>
            <c:ext xmlns:c16="http://schemas.microsoft.com/office/drawing/2014/chart" uri="{C3380CC4-5D6E-409C-BE32-E72D297353CC}">
              <c16:uniqueId val="{00000000-87CE-4D9D-ABDA-CDCCB2265D25}"/>
            </c:ext>
          </c:extLst>
        </c:ser>
        <c:ser>
          <c:idx val="1"/>
          <c:order val="1"/>
          <c:tx>
            <c:strRef>
              <c:f>CHARTS!$D$2</c:f>
              <c:strCache>
                <c:ptCount val="1"/>
                <c:pt idx="0">
                  <c:v>CEP</c:v>
                </c:pt>
              </c:strCache>
            </c:strRef>
          </c:tx>
          <c:spPr>
            <a:solidFill>
              <a:srgbClr val="12AA3D"/>
            </a:solidFill>
            <a:ln w="3175">
              <a:solidFill>
                <a:schemeClr val="tx1">
                  <a:lumMod val="50000"/>
                  <a:lumOff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CHARTS!$B$3:$B$6</c:f>
              <c:strCache>
                <c:ptCount val="4"/>
                <c:pt idx="0">
                  <c:v>SCHOOL TYPE #1</c:v>
                </c:pt>
                <c:pt idx="1">
                  <c:v>SCHOOL TYPE #2</c:v>
                </c:pt>
                <c:pt idx="2">
                  <c:v>SCHOOL TYPE #3</c:v>
                </c:pt>
                <c:pt idx="3">
                  <c:v>SCHOOL TYPE #4</c:v>
                </c:pt>
              </c:strCache>
            </c:strRef>
          </c:cat>
          <c:val>
            <c:numRef>
              <c:f>CHARTS!$D$3:$D$6</c:f>
              <c:numCache>
                <c:formatCode>"$"#,##0</c:formatCode>
                <c:ptCount val="4"/>
                <c:pt idx="0">
                  <c:v>0</c:v>
                </c:pt>
                <c:pt idx="1">
                  <c:v>0</c:v>
                </c:pt>
                <c:pt idx="2">
                  <c:v>0</c:v>
                </c:pt>
                <c:pt idx="3">
                  <c:v>0</c:v>
                </c:pt>
              </c:numCache>
            </c:numRef>
          </c:val>
          <c:extLst>
            <c:ext xmlns:c16="http://schemas.microsoft.com/office/drawing/2014/chart" uri="{C3380CC4-5D6E-409C-BE32-E72D297353CC}">
              <c16:uniqueId val="{00000001-87CE-4D9D-ABDA-CDCCB2265D25}"/>
            </c:ext>
          </c:extLst>
        </c:ser>
        <c:dLbls>
          <c:showLegendKey val="0"/>
          <c:showVal val="0"/>
          <c:showCatName val="0"/>
          <c:showSerName val="0"/>
          <c:showPercent val="0"/>
          <c:showBubbleSize val="0"/>
        </c:dLbls>
        <c:gapWidth val="50"/>
        <c:overlap val="-27"/>
        <c:axId val="556371680"/>
        <c:axId val="556368728"/>
      </c:barChart>
      <c:catAx>
        <c:axId val="556371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6368728"/>
        <c:crosses val="autoZero"/>
        <c:auto val="1"/>
        <c:lblAlgn val="ctr"/>
        <c:lblOffset val="100"/>
        <c:noMultiLvlLbl val="0"/>
      </c:catAx>
      <c:valAx>
        <c:axId val="556368728"/>
        <c:scaling>
          <c:orientation val="minMax"/>
          <c:min val="0"/>
        </c:scaling>
        <c:delete val="0"/>
        <c:axPos val="l"/>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63716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EXPENSE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CHARTS!$C$8</c:f>
              <c:strCache>
                <c:ptCount val="1"/>
                <c:pt idx="0">
                  <c:v>CURRENT</c:v>
                </c:pt>
              </c:strCache>
            </c:strRef>
          </c:tx>
          <c:spPr>
            <a:solidFill>
              <a:srgbClr val="FF0000"/>
            </a:solidFill>
            <a:ln w="3175">
              <a:solidFill>
                <a:schemeClr val="tx1">
                  <a:lumMod val="50000"/>
                  <a:lumOff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CHARTS!$B$9:$B$12</c:f>
              <c:strCache>
                <c:ptCount val="4"/>
                <c:pt idx="0">
                  <c:v>FOOD</c:v>
                </c:pt>
                <c:pt idx="1">
                  <c:v>DIRECT LABOR</c:v>
                </c:pt>
                <c:pt idx="2">
                  <c:v>ADMIN LABOR</c:v>
                </c:pt>
                <c:pt idx="3">
                  <c:v>OTHER</c:v>
                </c:pt>
              </c:strCache>
            </c:strRef>
          </c:cat>
          <c:val>
            <c:numRef>
              <c:f>CHARTS!$C$9:$C$12</c:f>
              <c:numCache>
                <c:formatCode>"$"#,##0_);[Red]\("$"#,##0\)</c:formatCode>
                <c:ptCount val="4"/>
                <c:pt idx="0">
                  <c:v>0</c:v>
                </c:pt>
                <c:pt idx="1">
                  <c:v>0</c:v>
                </c:pt>
                <c:pt idx="2">
                  <c:v>0</c:v>
                </c:pt>
                <c:pt idx="3">
                  <c:v>0</c:v>
                </c:pt>
              </c:numCache>
            </c:numRef>
          </c:val>
          <c:extLst>
            <c:ext xmlns:c16="http://schemas.microsoft.com/office/drawing/2014/chart" uri="{C3380CC4-5D6E-409C-BE32-E72D297353CC}">
              <c16:uniqueId val="{00000000-32BB-40D5-BB2F-84833D9EDC9F}"/>
            </c:ext>
          </c:extLst>
        </c:ser>
        <c:ser>
          <c:idx val="1"/>
          <c:order val="1"/>
          <c:tx>
            <c:strRef>
              <c:f>CHARTS!$D$8</c:f>
              <c:strCache>
                <c:ptCount val="1"/>
                <c:pt idx="0">
                  <c:v>CEP</c:v>
                </c:pt>
              </c:strCache>
            </c:strRef>
          </c:tx>
          <c:spPr>
            <a:solidFill>
              <a:srgbClr val="C00000"/>
            </a:solidFill>
            <a:ln w="3175">
              <a:solidFill>
                <a:schemeClr val="tx1">
                  <a:lumMod val="50000"/>
                  <a:lumOff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CHARTS!$B$9:$B$12</c:f>
              <c:strCache>
                <c:ptCount val="4"/>
                <c:pt idx="0">
                  <c:v>FOOD</c:v>
                </c:pt>
                <c:pt idx="1">
                  <c:v>DIRECT LABOR</c:v>
                </c:pt>
                <c:pt idx="2">
                  <c:v>ADMIN LABOR</c:v>
                </c:pt>
                <c:pt idx="3">
                  <c:v>OTHER</c:v>
                </c:pt>
              </c:strCache>
            </c:strRef>
          </c:cat>
          <c:val>
            <c:numRef>
              <c:f>CHARTS!$D$9:$D$12</c:f>
              <c:numCache>
                <c:formatCode>"$"#,##0_);[Red]\("$"#,##0\)</c:formatCode>
                <c:ptCount val="4"/>
                <c:pt idx="0">
                  <c:v>0</c:v>
                </c:pt>
                <c:pt idx="1">
                  <c:v>0</c:v>
                </c:pt>
                <c:pt idx="2">
                  <c:v>0</c:v>
                </c:pt>
                <c:pt idx="3">
                  <c:v>0</c:v>
                </c:pt>
              </c:numCache>
            </c:numRef>
          </c:val>
          <c:extLst>
            <c:ext xmlns:c16="http://schemas.microsoft.com/office/drawing/2014/chart" uri="{C3380CC4-5D6E-409C-BE32-E72D297353CC}">
              <c16:uniqueId val="{00000001-32BB-40D5-BB2F-84833D9EDC9F}"/>
            </c:ext>
          </c:extLst>
        </c:ser>
        <c:dLbls>
          <c:showLegendKey val="0"/>
          <c:showVal val="0"/>
          <c:showCatName val="0"/>
          <c:showSerName val="0"/>
          <c:showPercent val="0"/>
          <c:showBubbleSize val="0"/>
        </c:dLbls>
        <c:gapWidth val="50"/>
        <c:overlap val="-27"/>
        <c:axId val="556371680"/>
        <c:axId val="556368728"/>
      </c:barChart>
      <c:catAx>
        <c:axId val="556371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6368728"/>
        <c:crosses val="autoZero"/>
        <c:auto val="1"/>
        <c:lblAlgn val="ctr"/>
        <c:lblOffset val="100"/>
        <c:noMultiLvlLbl val="0"/>
      </c:catAx>
      <c:valAx>
        <c:axId val="556368728"/>
        <c:scaling>
          <c:orientation val="minMax"/>
          <c:min val="0"/>
        </c:scaling>
        <c:delete val="0"/>
        <c:axPos val="l"/>
        <c:numFmt formatCode="&quot;$&quot;#,##0_);[Red]\(&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63716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NET</a:t>
            </a:r>
            <a:r>
              <a:rPr lang="en-US" baseline="0"/>
              <a:t> INCOME</a:t>
            </a:r>
            <a:r>
              <a:rPr lang="en-US"/>
              <a:t>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CHARTS!$C$14</c:f>
              <c:strCache>
                <c:ptCount val="1"/>
                <c:pt idx="0">
                  <c:v>CURRENT</c:v>
                </c:pt>
              </c:strCache>
            </c:strRef>
          </c:tx>
          <c:spPr>
            <a:solidFill>
              <a:srgbClr val="92D050"/>
            </a:solidFill>
            <a:ln w="3175">
              <a:solidFill>
                <a:schemeClr val="tx1">
                  <a:lumMod val="50000"/>
                  <a:lumOff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CHARTS!$B$15</c:f>
              <c:strCache>
                <c:ptCount val="1"/>
                <c:pt idx="0">
                  <c:v>NET INCOME</c:v>
                </c:pt>
              </c:strCache>
            </c:strRef>
          </c:cat>
          <c:val>
            <c:numRef>
              <c:f>CHARTS!$C$15</c:f>
              <c:numCache>
                <c:formatCode>"$"#,##0_);[Red]\("$"#,##0\)</c:formatCode>
                <c:ptCount val="1"/>
                <c:pt idx="0">
                  <c:v>0</c:v>
                </c:pt>
              </c:numCache>
            </c:numRef>
          </c:val>
          <c:extLst>
            <c:ext xmlns:c16="http://schemas.microsoft.com/office/drawing/2014/chart" uri="{C3380CC4-5D6E-409C-BE32-E72D297353CC}">
              <c16:uniqueId val="{00000000-5B07-4BCE-9263-ADC595692793}"/>
            </c:ext>
          </c:extLst>
        </c:ser>
        <c:ser>
          <c:idx val="1"/>
          <c:order val="1"/>
          <c:tx>
            <c:strRef>
              <c:f>CHARTS!$D$14</c:f>
              <c:strCache>
                <c:ptCount val="1"/>
                <c:pt idx="0">
                  <c:v>CEP</c:v>
                </c:pt>
              </c:strCache>
            </c:strRef>
          </c:tx>
          <c:spPr>
            <a:solidFill>
              <a:srgbClr val="12AA3D"/>
            </a:solidFill>
            <a:ln w="3175">
              <a:solidFill>
                <a:schemeClr val="tx1">
                  <a:lumMod val="50000"/>
                  <a:lumOff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CHARTS!$B$15</c:f>
              <c:strCache>
                <c:ptCount val="1"/>
                <c:pt idx="0">
                  <c:v>NET INCOME</c:v>
                </c:pt>
              </c:strCache>
            </c:strRef>
          </c:cat>
          <c:val>
            <c:numRef>
              <c:f>CHARTS!$D$15</c:f>
              <c:numCache>
                <c:formatCode>"$"#,##0_);[Red]\("$"#,##0\)</c:formatCode>
                <c:ptCount val="1"/>
                <c:pt idx="0">
                  <c:v>0</c:v>
                </c:pt>
              </c:numCache>
            </c:numRef>
          </c:val>
          <c:extLst>
            <c:ext xmlns:c16="http://schemas.microsoft.com/office/drawing/2014/chart" uri="{C3380CC4-5D6E-409C-BE32-E72D297353CC}">
              <c16:uniqueId val="{00000001-5B07-4BCE-9263-ADC595692793}"/>
            </c:ext>
          </c:extLst>
        </c:ser>
        <c:dLbls>
          <c:showLegendKey val="0"/>
          <c:showVal val="0"/>
          <c:showCatName val="0"/>
          <c:showSerName val="0"/>
          <c:showPercent val="0"/>
          <c:showBubbleSize val="0"/>
        </c:dLbls>
        <c:gapWidth val="50"/>
        <c:overlap val="-27"/>
        <c:axId val="556371680"/>
        <c:axId val="556368728"/>
      </c:barChart>
      <c:catAx>
        <c:axId val="556371680"/>
        <c:scaling>
          <c:orientation val="minMax"/>
        </c:scaling>
        <c:delete val="1"/>
        <c:axPos val="b"/>
        <c:numFmt formatCode="General" sourceLinked="1"/>
        <c:majorTickMark val="none"/>
        <c:minorTickMark val="none"/>
        <c:tickLblPos val="nextTo"/>
        <c:crossAx val="556368728"/>
        <c:crosses val="autoZero"/>
        <c:auto val="1"/>
        <c:lblAlgn val="ctr"/>
        <c:lblOffset val="100"/>
        <c:noMultiLvlLbl val="0"/>
      </c:catAx>
      <c:valAx>
        <c:axId val="556368728"/>
        <c:scaling>
          <c:orientation val="minMax"/>
          <c:min val="0"/>
        </c:scaling>
        <c:delete val="0"/>
        <c:axPos val="l"/>
        <c:numFmt formatCode="&quot;$&quot;#,##0_);[Red]\(&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63716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183834</xdr:colOff>
      <xdr:row>0</xdr:row>
      <xdr:rowOff>85725</xdr:rowOff>
    </xdr:from>
    <xdr:to>
      <xdr:col>3</xdr:col>
      <xdr:colOff>349569</xdr:colOff>
      <xdr:row>7</xdr:row>
      <xdr:rowOff>0</xdr:rowOff>
    </xdr:to>
    <xdr:pic>
      <xdr:nvPicPr>
        <xdr:cNvPr id="2" name="Picture 1" descr="Image result for food resource action center">
          <a:extLst>
            <a:ext uri="{FF2B5EF4-FFF2-40B4-BE49-F238E27FC236}">
              <a16:creationId xmlns:a16="http://schemas.microsoft.com/office/drawing/2014/main" id="{AFE31F72-0DE7-42BB-9B16-7610430F3FA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573" t="22870" r="11175" b="21524"/>
        <a:stretch/>
      </xdr:blipFill>
      <xdr:spPr bwMode="auto">
        <a:xfrm>
          <a:off x="183834" y="85725"/>
          <a:ext cx="1697355" cy="1194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183834</xdr:colOff>
      <xdr:row>0</xdr:row>
      <xdr:rowOff>85725</xdr:rowOff>
    </xdr:from>
    <xdr:to>
      <xdr:col>1</xdr:col>
      <xdr:colOff>1241109</xdr:colOff>
      <xdr:row>7</xdr:row>
      <xdr:rowOff>0</xdr:rowOff>
    </xdr:to>
    <xdr:pic>
      <xdr:nvPicPr>
        <xdr:cNvPr id="2" name="Picture 1" descr="Image result for food resource action center">
          <a:extLst>
            <a:ext uri="{FF2B5EF4-FFF2-40B4-BE49-F238E27FC236}">
              <a16:creationId xmlns:a16="http://schemas.microsoft.com/office/drawing/2014/main" id="{8077DECC-BF38-460A-8E48-45D615CDA7F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573" t="22870" r="11175" b="21524"/>
        <a:stretch/>
      </xdr:blipFill>
      <xdr:spPr bwMode="auto">
        <a:xfrm>
          <a:off x="183834" y="85725"/>
          <a:ext cx="1697355" cy="1194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147638</xdr:colOff>
      <xdr:row>0</xdr:row>
      <xdr:rowOff>180972</xdr:rowOff>
    </xdr:from>
    <xdr:to>
      <xdr:col>7</xdr:col>
      <xdr:colOff>576263</xdr:colOff>
      <xdr:row>33</xdr:row>
      <xdr:rowOff>152397</xdr:rowOff>
    </xdr:to>
    <xdr:graphicFrame macro="">
      <xdr:nvGraphicFramePr>
        <xdr:cNvPr id="2" name="Chart 1">
          <a:extLst>
            <a:ext uri="{FF2B5EF4-FFF2-40B4-BE49-F238E27FC236}">
              <a16:creationId xmlns:a16="http://schemas.microsoft.com/office/drawing/2014/main" id="{F0C624B4-20C3-45ED-8519-6161EF5A445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76201</xdr:colOff>
      <xdr:row>1</xdr:row>
      <xdr:rowOff>4763</xdr:rowOff>
    </xdr:from>
    <xdr:to>
      <xdr:col>16</xdr:col>
      <xdr:colOff>457201</xdr:colOff>
      <xdr:row>33</xdr:row>
      <xdr:rowOff>157163</xdr:rowOff>
    </xdr:to>
    <xdr:graphicFrame macro="">
      <xdr:nvGraphicFramePr>
        <xdr:cNvPr id="3" name="Chart 2">
          <a:extLst>
            <a:ext uri="{FF2B5EF4-FFF2-40B4-BE49-F238E27FC236}">
              <a16:creationId xmlns:a16="http://schemas.microsoft.com/office/drawing/2014/main" id="{2FDE9889-D005-42D3-BEF5-62A822ED5C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619125</xdr:colOff>
      <xdr:row>1</xdr:row>
      <xdr:rowOff>9524</xdr:rowOff>
    </xdr:from>
    <xdr:to>
      <xdr:col>25</xdr:col>
      <xdr:colOff>361950</xdr:colOff>
      <xdr:row>33</xdr:row>
      <xdr:rowOff>161924</xdr:rowOff>
    </xdr:to>
    <xdr:graphicFrame macro="">
      <xdr:nvGraphicFramePr>
        <xdr:cNvPr id="4" name="Chart 3">
          <a:extLst>
            <a:ext uri="{FF2B5EF4-FFF2-40B4-BE49-F238E27FC236}">
              <a16:creationId xmlns:a16="http://schemas.microsoft.com/office/drawing/2014/main" id="{7D97B1A3-541D-4ABC-BC03-E34BD9A964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rs.usda.gov/topics/food-nutrition-assistance/child-nutrition-programs/after-school-snacks-and-suppers/" TargetMode="External"/><Relationship Id="rId2" Type="http://schemas.openxmlformats.org/officeDocument/2006/relationships/hyperlink" Target="https://www.federalregister.gov/documents/2019/08/07/2019-16907/child-and-adult-care-food-program-national-average-payment-rates-day-care-home-food-service-payment" TargetMode="External"/><Relationship Id="rId1" Type="http://schemas.openxmlformats.org/officeDocument/2006/relationships/hyperlink" Target="https://www.federalregister.gov/documents/2019/08/07/2019-16903/national-school-lunch-special-milk-and-school-breakfast-programs-national-average-paymentsmaximum" TargetMode="External"/><Relationship Id="rId5" Type="http://schemas.openxmlformats.org/officeDocument/2006/relationships/printerSettings" Target="../printerSettings/printerSettings1.bin"/><Relationship Id="rId4" Type="http://schemas.openxmlformats.org/officeDocument/2006/relationships/hyperlink" Target="https://www.fns.usda.gov/usda-fis/value-donated-foods-notice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frac.org/wp-content/uploads/making-cep-work-with-lower-isps.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02803-9AC0-4F87-A20F-5448B8320D70}">
  <dimension ref="B1:L24"/>
  <sheetViews>
    <sheetView zoomScale="80" zoomScaleNormal="80" workbookViewId="0">
      <selection activeCell="P2" sqref="P2"/>
    </sheetView>
  </sheetViews>
  <sheetFormatPr baseColWidth="10" defaultColWidth="8.83203125" defaultRowHeight="27.25" customHeight="1" x14ac:dyDescent="0.2"/>
  <cols>
    <col min="1" max="1" width="8.83203125" style="30"/>
    <col min="2" max="2" width="38.83203125" style="30" customWidth="1"/>
    <col min="3" max="3" width="8.83203125" style="30" customWidth="1"/>
    <col min="4" max="8" width="8.83203125" style="30"/>
    <col min="9" max="9" width="34.1640625" style="30" bestFit="1" customWidth="1"/>
    <col min="10" max="16384" width="8.83203125" style="30"/>
  </cols>
  <sheetData>
    <row r="1" spans="2:12" ht="10.5" customHeight="1" x14ac:dyDescent="0.2"/>
    <row r="2" spans="2:12" ht="27.25" customHeight="1" x14ac:dyDescent="0.2">
      <c r="B2" s="29" t="s">
        <v>52</v>
      </c>
      <c r="C2" s="40">
        <v>1.6</v>
      </c>
      <c r="I2" s="29" t="s">
        <v>33</v>
      </c>
      <c r="J2" s="39">
        <v>7.0000000000000007E-2</v>
      </c>
    </row>
    <row r="3" spans="2:12" ht="10.75" customHeight="1" x14ac:dyDescent="0.2"/>
    <row r="4" spans="2:12" ht="27.25" customHeight="1" x14ac:dyDescent="0.2">
      <c r="B4" s="321" t="s">
        <v>27</v>
      </c>
      <c r="C4" s="321" t="s">
        <v>57</v>
      </c>
      <c r="D4" s="321"/>
      <c r="E4" s="321" t="s">
        <v>56</v>
      </c>
      <c r="F4" s="321"/>
      <c r="G4" s="320" t="s">
        <v>8</v>
      </c>
      <c r="I4" s="35" t="s">
        <v>28</v>
      </c>
      <c r="J4" s="36" t="s">
        <v>13</v>
      </c>
      <c r="K4" s="36" t="s">
        <v>17</v>
      </c>
      <c r="L4" s="36" t="s">
        <v>14</v>
      </c>
    </row>
    <row r="5" spans="2:12" ht="27.25" customHeight="1" x14ac:dyDescent="0.2">
      <c r="B5" s="321"/>
      <c r="C5" s="31" t="s">
        <v>7</v>
      </c>
      <c r="D5" s="31" t="s">
        <v>53</v>
      </c>
      <c r="E5" s="31" t="s">
        <v>7</v>
      </c>
      <c r="F5" s="31" t="s">
        <v>53</v>
      </c>
      <c r="G5" s="320"/>
      <c r="I5" s="46" t="s">
        <v>29</v>
      </c>
      <c r="J5" s="47"/>
      <c r="K5" s="47"/>
      <c r="L5" s="48"/>
    </row>
    <row r="6" spans="2:12" ht="27.25" customHeight="1" x14ac:dyDescent="0.2">
      <c r="B6" s="32" t="s">
        <v>29</v>
      </c>
      <c r="C6" s="39">
        <v>2.2000000000000002</v>
      </c>
      <c r="D6" s="39">
        <v>1.9</v>
      </c>
      <c r="E6" s="14">
        <v>1.84</v>
      </c>
      <c r="F6" s="14">
        <v>1.54</v>
      </c>
      <c r="G6" s="14">
        <v>0.31</v>
      </c>
      <c r="I6" s="37" t="s">
        <v>8</v>
      </c>
      <c r="J6" s="39">
        <v>0.32</v>
      </c>
      <c r="K6" s="39">
        <v>0.39</v>
      </c>
      <c r="L6" s="39">
        <v>0.4</v>
      </c>
    </row>
    <row r="7" spans="2:12" ht="27.25" customHeight="1" x14ac:dyDescent="0.2">
      <c r="B7" s="32" t="s">
        <v>11</v>
      </c>
      <c r="C7" s="39">
        <v>3.53</v>
      </c>
      <c r="D7" s="39">
        <v>3.23</v>
      </c>
      <c r="E7" s="39">
        <v>2.95</v>
      </c>
      <c r="F7" s="39">
        <v>2.65</v>
      </c>
      <c r="G7" s="39">
        <v>0.47</v>
      </c>
      <c r="I7" s="37" t="s">
        <v>53</v>
      </c>
      <c r="J7" s="39">
        <v>3.01</v>
      </c>
      <c r="K7" s="39">
        <v>3.08</v>
      </c>
      <c r="L7" s="39">
        <v>3.18</v>
      </c>
    </row>
    <row r="8" spans="2:12" ht="27.25" customHeight="1" x14ac:dyDescent="0.2">
      <c r="B8" s="32" t="s">
        <v>55</v>
      </c>
      <c r="C8" s="14">
        <v>2.57</v>
      </c>
      <c r="D8" s="14">
        <v>2.27</v>
      </c>
      <c r="E8" s="14">
        <v>2.15</v>
      </c>
      <c r="F8" s="14">
        <v>1.85</v>
      </c>
      <c r="G8" s="14">
        <v>0.36</v>
      </c>
      <c r="I8" s="37" t="s">
        <v>7</v>
      </c>
      <c r="J8" s="39">
        <v>3.41</v>
      </c>
      <c r="K8" s="39">
        <v>3.48</v>
      </c>
      <c r="L8" s="39">
        <v>3.58</v>
      </c>
    </row>
    <row r="9" spans="2:12" ht="9" customHeight="1" x14ac:dyDescent="0.2">
      <c r="B9" s="33"/>
      <c r="C9" s="34"/>
      <c r="D9" s="34"/>
      <c r="E9" s="34"/>
    </row>
    <row r="10" spans="2:12" ht="27.25" customHeight="1" x14ac:dyDescent="0.2">
      <c r="B10" s="41" t="s">
        <v>59</v>
      </c>
      <c r="C10" s="49" t="s">
        <v>7</v>
      </c>
      <c r="D10" s="49" t="s">
        <v>53</v>
      </c>
      <c r="E10" s="49" t="s">
        <v>8</v>
      </c>
      <c r="F10" s="21"/>
      <c r="G10" s="42"/>
      <c r="I10" s="46" t="s">
        <v>11</v>
      </c>
      <c r="J10" s="47"/>
      <c r="K10" s="47"/>
      <c r="L10" s="48"/>
    </row>
    <row r="11" spans="2:12" ht="27.25" customHeight="1" x14ac:dyDescent="0.2">
      <c r="B11" s="32" t="s">
        <v>29</v>
      </c>
      <c r="C11" s="39">
        <v>0.94</v>
      </c>
      <c r="D11" s="39">
        <v>0.47</v>
      </c>
      <c r="E11" s="14">
        <v>0.08</v>
      </c>
      <c r="F11" s="43"/>
      <c r="G11" s="42"/>
      <c r="I11" s="37" t="s">
        <v>8</v>
      </c>
      <c r="J11" s="14">
        <v>0.53</v>
      </c>
      <c r="K11" s="14">
        <v>0.6</v>
      </c>
      <c r="L11" s="14">
        <v>0.63</v>
      </c>
    </row>
    <row r="12" spans="2:12" ht="27.25" customHeight="1" x14ac:dyDescent="0.2">
      <c r="B12" s="32" t="s">
        <v>11</v>
      </c>
      <c r="C12" s="39">
        <v>1.52</v>
      </c>
      <c r="D12" s="39">
        <v>0.76</v>
      </c>
      <c r="E12" s="39">
        <v>0.13</v>
      </c>
      <c r="F12" s="44"/>
      <c r="G12" s="44"/>
      <c r="I12" s="37" t="s">
        <v>53</v>
      </c>
      <c r="J12" s="14">
        <v>5.14</v>
      </c>
      <c r="K12" s="14">
        <v>5.21</v>
      </c>
      <c r="L12" s="14">
        <v>5.38</v>
      </c>
    </row>
    <row r="13" spans="2:12" ht="27.25" customHeight="1" x14ac:dyDescent="0.2">
      <c r="B13" s="32" t="s">
        <v>55</v>
      </c>
      <c r="C13" s="14">
        <v>1.1000000000000001</v>
      </c>
      <c r="D13" s="14">
        <v>0.55000000000000004</v>
      </c>
      <c r="E13" s="14">
        <v>0.1</v>
      </c>
      <c r="F13" s="45"/>
      <c r="G13" s="45"/>
      <c r="I13" s="37" t="s">
        <v>7</v>
      </c>
      <c r="J13" s="39">
        <v>5.54</v>
      </c>
      <c r="K13" s="39">
        <v>5.61</v>
      </c>
      <c r="L13" s="39">
        <v>5.78</v>
      </c>
    </row>
    <row r="14" spans="2:12" ht="9" customHeight="1" x14ac:dyDescent="0.2">
      <c r="F14" s="44"/>
      <c r="G14" s="44"/>
    </row>
    <row r="15" spans="2:12" ht="27.25" customHeight="1" x14ac:dyDescent="0.2">
      <c r="B15" s="41" t="s">
        <v>62</v>
      </c>
      <c r="C15" s="49" t="s">
        <v>7</v>
      </c>
      <c r="D15" s="49" t="s">
        <v>53</v>
      </c>
      <c r="E15" s="49" t="s">
        <v>8</v>
      </c>
      <c r="I15" s="46" t="s">
        <v>12</v>
      </c>
      <c r="J15" s="47"/>
      <c r="K15" s="47"/>
      <c r="L15" s="48"/>
    </row>
    <row r="16" spans="2:12" ht="27.25" customHeight="1" x14ac:dyDescent="0.2">
      <c r="B16" s="32" t="s">
        <v>29</v>
      </c>
      <c r="C16" s="39">
        <v>3.41</v>
      </c>
      <c r="D16" s="39">
        <v>3.01</v>
      </c>
      <c r="E16" s="14">
        <v>0.32</v>
      </c>
      <c r="I16" s="37" t="s">
        <v>8</v>
      </c>
      <c r="J16" s="14">
        <v>0.38</v>
      </c>
      <c r="K16" s="14">
        <v>0.45</v>
      </c>
      <c r="L16" s="14">
        <v>0.46</v>
      </c>
    </row>
    <row r="17" spans="2:12" ht="27.25" customHeight="1" x14ac:dyDescent="0.2">
      <c r="B17" s="32" t="s">
        <v>11</v>
      </c>
      <c r="C17" s="39">
        <v>5.54</v>
      </c>
      <c r="D17" s="39">
        <v>5.14</v>
      </c>
      <c r="E17" s="39">
        <v>0.53</v>
      </c>
      <c r="I17" s="37" t="s">
        <v>53</v>
      </c>
      <c r="J17" s="14">
        <v>3.6</v>
      </c>
      <c r="K17" s="14">
        <v>3.67</v>
      </c>
      <c r="L17" s="14">
        <v>3.78</v>
      </c>
    </row>
    <row r="18" spans="2:12" ht="27.25" customHeight="1" x14ac:dyDescent="0.2">
      <c r="B18" s="32" t="s">
        <v>55</v>
      </c>
      <c r="C18" s="14">
        <v>4</v>
      </c>
      <c r="D18" s="14">
        <v>3.6</v>
      </c>
      <c r="E18" s="14">
        <v>0.38</v>
      </c>
      <c r="I18" s="37" t="s">
        <v>7</v>
      </c>
      <c r="J18" s="14">
        <v>4</v>
      </c>
      <c r="K18" s="14">
        <v>4.07</v>
      </c>
      <c r="L18" s="14">
        <v>4.18</v>
      </c>
    </row>
    <row r="19" spans="2:12" ht="9" customHeight="1" x14ac:dyDescent="0.2"/>
    <row r="20" spans="2:12" ht="27.75" customHeight="1" x14ac:dyDescent="0.2">
      <c r="B20" s="29" t="s">
        <v>85</v>
      </c>
      <c r="C20" s="109">
        <v>0.23749999999999999</v>
      </c>
    </row>
    <row r="21" spans="2:12" ht="27.25" customHeight="1" x14ac:dyDescent="0.2">
      <c r="B21" s="38" t="s">
        <v>54</v>
      </c>
    </row>
    <row r="22" spans="2:12" ht="27.25" customHeight="1" x14ac:dyDescent="0.2">
      <c r="B22" s="50" t="s">
        <v>61</v>
      </c>
    </row>
    <row r="23" spans="2:12" ht="27.25" customHeight="1" x14ac:dyDescent="0.2">
      <c r="B23" s="50" t="s">
        <v>63</v>
      </c>
    </row>
    <row r="24" spans="2:12" ht="27.25" customHeight="1" x14ac:dyDescent="0.2">
      <c r="B24" s="50" t="s">
        <v>84</v>
      </c>
    </row>
  </sheetData>
  <mergeCells count="4">
    <mergeCell ref="G4:G5"/>
    <mergeCell ref="B4:B5"/>
    <mergeCell ref="C4:D4"/>
    <mergeCell ref="E4:F4"/>
  </mergeCells>
  <hyperlinks>
    <hyperlink ref="B21" r:id="rId1" location="p-31" display="https://www.federalregister.gov/documents/2019/08/07/2019-16903/national-school-lunch-special-milk-and-school-breakfast-programs-national-average-paymentsmaximum - p-31" xr:uid="{A9038C97-4694-4BAA-BA94-B5D598D60C92}"/>
    <hyperlink ref="B22" r:id="rId2" xr:uid="{9BBC958C-7762-4E3D-9D5D-42234ED85F15}"/>
    <hyperlink ref="B23" r:id="rId3" xr:uid="{DBB64D63-6053-40F8-95D9-6AB648EC2A83}"/>
    <hyperlink ref="B24" r:id="rId4" xr:uid="{444EC649-7A48-4744-9729-505AA5450BAE}"/>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1E71A-34B7-4C00-B774-EA2EE12DC962}">
  <dimension ref="A2:H17"/>
  <sheetViews>
    <sheetView zoomScale="80" zoomScaleNormal="80" workbookViewId="0">
      <selection activeCell="E31" sqref="E31"/>
    </sheetView>
  </sheetViews>
  <sheetFormatPr baseColWidth="10" defaultColWidth="8.83203125" defaultRowHeight="15" x14ac:dyDescent="0.2"/>
  <cols>
    <col min="1" max="1" width="46.83203125" style="3" customWidth="1"/>
    <col min="2" max="2" width="18" style="4" customWidth="1"/>
    <col min="3" max="3" width="13.1640625" style="4" customWidth="1"/>
    <col min="4" max="4" width="13.6640625" style="4" customWidth="1"/>
    <col min="5" max="5" width="17.5" style="4" customWidth="1"/>
    <col min="6" max="16384" width="8.83203125" style="4"/>
  </cols>
  <sheetData>
    <row r="2" spans="1:8" ht="38.5" customHeight="1" x14ac:dyDescent="0.2">
      <c r="A2" s="3" t="s">
        <v>19</v>
      </c>
      <c r="B2" s="13" t="s">
        <v>10</v>
      </c>
    </row>
    <row r="3" spans="1:8" ht="32" x14ac:dyDescent="0.2">
      <c r="B3" s="3" t="s">
        <v>4</v>
      </c>
      <c r="D3" s="11" t="s">
        <v>22</v>
      </c>
      <c r="E3" s="6" t="s">
        <v>23</v>
      </c>
    </row>
    <row r="4" spans="1:8" x14ac:dyDescent="0.2">
      <c r="B4" s="5" t="s">
        <v>24</v>
      </c>
      <c r="C4" s="8" t="e">
        <f>((#REF!/SUM(#REF!))*#REF!)+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f>
        <v>#REF!</v>
      </c>
      <c r="D4" s="12">
        <v>0</v>
      </c>
      <c r="E4" s="7" t="e">
        <f>'REIMBURSEMENT RATE OLD'!$C$4+D4</f>
        <v>#REF!</v>
      </c>
      <c r="H4" s="2"/>
    </row>
    <row r="5" spans="1:8" x14ac:dyDescent="0.2">
      <c r="B5" s="5" t="s">
        <v>25</v>
      </c>
      <c r="C5" s="8" t="e">
        <f>((#REF!/SUM(#REF!))*#REF!)+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
((#REF!/SUM(#REF!))*#REF!)</f>
        <v>#REF!</v>
      </c>
      <c r="D5" s="12">
        <v>0</v>
      </c>
      <c r="E5" s="7" t="e">
        <f>'REIMBURSEMENT RATE OLD'!$C$5+D5</f>
        <v>#REF!</v>
      </c>
      <c r="H5" s="2"/>
    </row>
    <row r="6" spans="1:8" x14ac:dyDescent="0.2">
      <c r="B6" s="3"/>
    </row>
    <row r="7" spans="1:8" x14ac:dyDescent="0.2">
      <c r="B7" s="3" t="s">
        <v>15</v>
      </c>
    </row>
    <row r="8" spans="1:8" x14ac:dyDescent="0.2">
      <c r="B8" s="5" t="s">
        <v>20</v>
      </c>
      <c r="C8" s="9" t="s">
        <v>6</v>
      </c>
    </row>
    <row r="9" spans="1:8" x14ac:dyDescent="0.2">
      <c r="B9" s="5" t="s">
        <v>16</v>
      </c>
      <c r="C9" s="9" t="s">
        <v>9</v>
      </c>
    </row>
    <row r="10" spans="1:8" ht="32" x14ac:dyDescent="0.2">
      <c r="B10" s="5" t="s">
        <v>18</v>
      </c>
      <c r="C10" s="9" t="s">
        <v>17</v>
      </c>
      <c r="D10" s="11" t="s">
        <v>22</v>
      </c>
      <c r="E10" s="6" t="s">
        <v>23</v>
      </c>
    </row>
    <row r="11" spans="1:8" x14ac:dyDescent="0.2">
      <c r="B11" s="5" t="s">
        <v>1</v>
      </c>
      <c r="C11" s="10">
        <f>IF(AND('REIMBURSEMENT RATE OLD'!$B$2="CONTIGUOUS US",$C$10="&lt;60%"),'FEDERAL RATES (HIDDEN)'!$J6,IF(AND('REIMBURSEMENT RATE OLD'!$B$2="CONTIGUOUS US",$C$10="≥60%"),'FEDERAL RATES (HIDDEN)'!$K6,IF(AND('REIMBURSEMENT RATE OLD'!$B$2="CONTIGUOUS US",$C$10="MAX"),'FEDERAL RATES (HIDDEN)'!$L6,IF(AND('REIMBURSEMENT RATE OLD'!$B$2="ALASKA",$C$10="&lt;60%"),'FEDERAL RATES (HIDDEN)'!$J11,IF(AND('REIMBURSEMENT RATE OLD'!$B$2="ALASKA",$C$10="≥60%"),'FEDERAL RATES (HIDDEN)'!$K11,IF(AND('REIMBURSEMENT RATE OLD'!$B$2="ALASKA",$C$10="MAX"),'FEDERAL RATES (HIDDEN)'!$L11,IF(AND('REIMBURSEMENT RATE OLD'!$B$2="HAWAII",$C$10="&lt;60%"),'FEDERAL RATES (HIDDEN)'!$J16,IF(AND('REIMBURSEMENT RATE OLD'!$B$2="HAWAII",$C$10="≥60%"),'FEDERAL RATES (HIDDEN)'!$K16,IF(AND('REIMBURSEMENT RATE OLD'!$B$2="HAWAII",$C$10="MAX"),'FEDERAL RATES (HIDDEN)'!$L16,"")))))))))+IF($C$8="YES",0.07,0)+IF($C$9="YES",0.02,0)</f>
        <v>0.46</v>
      </c>
      <c r="D11" s="12">
        <v>0</v>
      </c>
      <c r="E11" s="7">
        <f>'REIMBURSEMENT RATE OLD'!$C$11+D11</f>
        <v>0.46</v>
      </c>
    </row>
    <row r="12" spans="1:8" x14ac:dyDescent="0.2">
      <c r="B12" s="5" t="s">
        <v>0</v>
      </c>
      <c r="C12" s="10">
        <f>IF(AND('REIMBURSEMENT RATE OLD'!$B$2="CONTIGUOUS US",$C$10="&lt;60%"),'FEDERAL RATES (HIDDEN)'!$J8,IF(AND('REIMBURSEMENT RATE OLD'!$B$2="CONTIGUOUS US",$C$10="≥60%"),'FEDERAL RATES (HIDDEN)'!$K8,IF(AND('REIMBURSEMENT RATE OLD'!$B$2="CONTIGUOUS US",$C$10="MAX"),'FEDERAL RATES (HIDDEN)'!$L8,IF(AND('REIMBURSEMENT RATE OLD'!$B$2="ALASKA",$C$10="&lt;60%"),'FEDERAL RATES (HIDDEN)'!$J13,IF(AND('REIMBURSEMENT RATE OLD'!$B$2="ALASKA",$C$10="≥60%"),'FEDERAL RATES (HIDDEN)'!$K13,IF(AND('REIMBURSEMENT RATE OLD'!$B$2="ALASKA",$C$10="MAX"),'FEDERAL RATES (HIDDEN)'!$L13,IF(AND('REIMBURSEMENT RATE OLD'!$B$2="HAWAII",$C$10="&lt;60%"),'FEDERAL RATES (HIDDEN)'!$J18,IF(AND('REIMBURSEMENT RATE OLD'!$B$2="HAWAII",$C$10="≥60%"),'FEDERAL RATES (HIDDEN)'!$K18,IF(AND('REIMBURSEMENT RATE OLD'!$B$2="HAWAII",$C$10="MAX"),'FEDERAL RATES (HIDDEN)'!$L18,"")))))))))+IF($C$8="YES",0.07,0)+IF($C$9="YES",0.02,0)</f>
        <v>3.55</v>
      </c>
      <c r="D12" s="12">
        <v>0</v>
      </c>
      <c r="E12" s="7">
        <f>'REIMBURSEMENT RATE OLD'!$C$12+D12</f>
        <v>3.55</v>
      </c>
    </row>
    <row r="14" spans="1:8" ht="14.5" customHeight="1" x14ac:dyDescent="0.2"/>
    <row r="17" ht="14.5" customHeight="1" x14ac:dyDescent="0.2"/>
  </sheetData>
  <dataValidations count="4">
    <dataValidation type="list" allowBlank="1" showInputMessage="1" showErrorMessage="1" sqref="C8:C9" xr:uid="{ACC614DB-1754-4B94-8C6E-13D8AC5E6959}">
      <formula1>"YES,NO"</formula1>
    </dataValidation>
    <dataValidation type="list" allowBlank="1" showInputMessage="1" showErrorMessage="1" sqref="C10" xr:uid="{E50FAC18-E2DB-46A0-9809-26B64D7D58DC}">
      <formula1>"&lt;60%,≥60%,MAX"</formula1>
    </dataValidation>
    <dataValidation type="decimal" allowBlank="1" showInputMessage="1" showErrorMessage="1" sqref="D4:D5 D11:D12" xr:uid="{40DF6DEA-A961-426E-A91B-C7C8612D2CDC}">
      <formula1>-5</formula1>
      <formula2>5</formula2>
    </dataValidation>
    <dataValidation type="list" allowBlank="1" showInputMessage="1" showErrorMessage="1" sqref="B2" xr:uid="{61A3A522-A0D0-4383-A88F-BB6E8214334B}">
      <formula1>"CONTIGUOUS US,ALASKA,HAWAII"</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BA2F1-49B1-419B-9046-303ADCCD0A72}">
  <dimension ref="B9:T31"/>
  <sheetViews>
    <sheetView tabSelected="1" zoomScaleNormal="100" workbookViewId="0">
      <selection activeCell="B15" sqref="B15:T15"/>
    </sheetView>
  </sheetViews>
  <sheetFormatPr baseColWidth="10" defaultColWidth="8.83203125" defaultRowHeight="15" x14ac:dyDescent="0.2"/>
  <cols>
    <col min="1" max="17" width="7.1640625" style="145" customWidth="1"/>
    <col min="18" max="16384" width="8.83203125" style="145"/>
  </cols>
  <sheetData>
    <row r="9" spans="2:20" ht="19" x14ac:dyDescent="0.2">
      <c r="B9" s="233"/>
    </row>
    <row r="10" spans="2:20" ht="116.75" customHeight="1" x14ac:dyDescent="0.2">
      <c r="B10" s="325" t="s">
        <v>174</v>
      </c>
      <c r="C10" s="325"/>
      <c r="D10" s="325"/>
      <c r="E10" s="325"/>
      <c r="F10" s="325"/>
      <c r="G10" s="325"/>
      <c r="H10" s="325"/>
      <c r="I10" s="325"/>
      <c r="J10" s="325"/>
      <c r="K10" s="325"/>
      <c r="L10" s="325"/>
      <c r="M10" s="325"/>
      <c r="N10" s="325"/>
      <c r="O10" s="325"/>
      <c r="P10" s="325"/>
      <c r="Q10" s="325"/>
      <c r="R10" s="325"/>
      <c r="S10" s="325"/>
      <c r="T10" s="325"/>
    </row>
    <row r="12" spans="2:20" ht="34.25" customHeight="1" x14ac:dyDescent="0.2">
      <c r="B12" s="326" t="s">
        <v>173</v>
      </c>
      <c r="C12" s="326"/>
      <c r="D12" s="326"/>
      <c r="E12" s="326"/>
      <c r="F12" s="326"/>
      <c r="G12" s="326"/>
      <c r="H12" s="326"/>
      <c r="I12" s="326"/>
      <c r="J12" s="326"/>
      <c r="K12" s="326"/>
      <c r="L12" s="326"/>
      <c r="M12" s="326"/>
      <c r="N12" s="326"/>
      <c r="O12" s="326"/>
      <c r="P12" s="326"/>
      <c r="Q12" s="326"/>
      <c r="R12" s="326"/>
      <c r="S12" s="326"/>
      <c r="T12" s="326"/>
    </row>
    <row r="13" spans="2:20" x14ac:dyDescent="0.2">
      <c r="B13" s="323" t="s">
        <v>134</v>
      </c>
      <c r="C13" s="323"/>
      <c r="D13" s="323"/>
      <c r="E13" s="323"/>
      <c r="F13" s="323"/>
      <c r="G13" s="323"/>
      <c r="H13" s="323"/>
      <c r="I13" s="323"/>
      <c r="J13" s="323"/>
      <c r="K13" s="323"/>
      <c r="L13" s="323"/>
      <c r="M13" s="323"/>
      <c r="N13" s="323"/>
      <c r="O13" s="323"/>
      <c r="P13" s="323"/>
      <c r="Q13" s="323"/>
      <c r="R13" s="323"/>
      <c r="S13" s="323"/>
      <c r="T13" s="323"/>
    </row>
    <row r="14" spans="2:20" x14ac:dyDescent="0.2">
      <c r="B14" s="323" t="s">
        <v>135</v>
      </c>
      <c r="C14" s="323"/>
      <c r="D14" s="323"/>
      <c r="E14" s="323"/>
      <c r="F14" s="323"/>
      <c r="G14" s="323"/>
      <c r="H14" s="323"/>
      <c r="I14" s="323"/>
      <c r="J14" s="323"/>
      <c r="K14" s="323"/>
      <c r="L14" s="323"/>
      <c r="M14" s="323"/>
      <c r="N14" s="323"/>
      <c r="O14" s="323"/>
      <c r="P14" s="323"/>
      <c r="Q14" s="323"/>
      <c r="R14" s="323"/>
      <c r="S14" s="323"/>
      <c r="T14" s="323"/>
    </row>
    <row r="15" spans="2:20" x14ac:dyDescent="0.2">
      <c r="B15" s="327" t="s">
        <v>136</v>
      </c>
      <c r="C15" s="327"/>
      <c r="D15" s="327"/>
      <c r="E15" s="327"/>
      <c r="F15" s="327"/>
      <c r="G15" s="327"/>
      <c r="H15" s="327"/>
      <c r="I15" s="327"/>
      <c r="J15" s="327"/>
      <c r="K15" s="327"/>
      <c r="L15" s="327"/>
      <c r="M15" s="327"/>
      <c r="N15" s="327"/>
      <c r="O15" s="327"/>
      <c r="P15" s="327"/>
      <c r="Q15" s="327"/>
      <c r="R15" s="327"/>
      <c r="S15" s="327"/>
      <c r="T15" s="327"/>
    </row>
    <row r="16" spans="2:20" x14ac:dyDescent="0.2">
      <c r="B16" s="323" t="s">
        <v>137</v>
      </c>
      <c r="C16" s="323"/>
      <c r="D16" s="323"/>
      <c r="E16" s="323"/>
      <c r="F16" s="323"/>
      <c r="G16" s="323"/>
      <c r="H16" s="323"/>
      <c r="I16" s="323"/>
      <c r="J16" s="323"/>
      <c r="K16" s="323"/>
      <c r="L16" s="323"/>
      <c r="M16" s="323"/>
      <c r="N16" s="323"/>
      <c r="O16" s="323"/>
      <c r="P16" s="323"/>
      <c r="Q16" s="323"/>
      <c r="R16" s="323"/>
      <c r="S16" s="323"/>
      <c r="T16" s="323"/>
    </row>
    <row r="17" spans="2:20" x14ac:dyDescent="0.2">
      <c r="B17" s="322" t="s">
        <v>138</v>
      </c>
      <c r="C17" s="322"/>
      <c r="D17" s="322"/>
      <c r="E17" s="322"/>
      <c r="F17" s="322"/>
      <c r="G17" s="322"/>
      <c r="H17" s="322"/>
      <c r="I17" s="322"/>
      <c r="J17" s="322"/>
      <c r="K17" s="322"/>
      <c r="L17" s="322"/>
      <c r="M17" s="322"/>
      <c r="N17" s="322"/>
      <c r="O17" s="322"/>
      <c r="P17" s="322"/>
      <c r="Q17" s="322"/>
      <c r="R17" s="322"/>
      <c r="S17" s="322"/>
      <c r="T17" s="322"/>
    </row>
    <row r="18" spans="2:20" x14ac:dyDescent="0.2">
      <c r="B18" s="323" t="s">
        <v>139</v>
      </c>
      <c r="C18" s="323"/>
      <c r="D18" s="323"/>
      <c r="E18" s="323"/>
      <c r="F18" s="323"/>
      <c r="G18" s="323"/>
      <c r="H18" s="323"/>
      <c r="I18" s="323"/>
      <c r="J18" s="323"/>
      <c r="K18" s="323"/>
      <c r="L18" s="323"/>
      <c r="M18" s="323"/>
      <c r="N18" s="323"/>
      <c r="O18" s="323"/>
      <c r="P18" s="323"/>
      <c r="Q18" s="323"/>
      <c r="R18" s="323"/>
      <c r="S18" s="323"/>
      <c r="T18" s="323"/>
    </row>
    <row r="20" spans="2:20" ht="19" x14ac:dyDescent="0.2">
      <c r="B20" s="324" t="s">
        <v>140</v>
      </c>
      <c r="C20" s="324"/>
      <c r="D20" s="324"/>
      <c r="E20" s="324"/>
      <c r="F20" s="324"/>
      <c r="G20" s="234" t="s">
        <v>141</v>
      </c>
      <c r="H20" s="145" t="s">
        <v>142</v>
      </c>
    </row>
    <row r="21" spans="2:20" x14ac:dyDescent="0.2">
      <c r="B21" s="235"/>
      <c r="C21" s="236"/>
    </row>
    <row r="22" spans="2:20" x14ac:dyDescent="0.2">
      <c r="B22" s="237"/>
    </row>
    <row r="23" spans="2:20" x14ac:dyDescent="0.2">
      <c r="B23" s="237"/>
      <c r="C23" s="236"/>
    </row>
    <row r="24" spans="2:20" x14ac:dyDescent="0.2">
      <c r="B24" s="237"/>
      <c r="C24" s="236"/>
    </row>
    <row r="25" spans="2:20" x14ac:dyDescent="0.2">
      <c r="B25" s="237"/>
      <c r="C25" s="236"/>
    </row>
    <row r="26" spans="2:20" x14ac:dyDescent="0.2">
      <c r="B26" s="237"/>
      <c r="C26" s="236"/>
    </row>
    <row r="27" spans="2:20" x14ac:dyDescent="0.2">
      <c r="B27" s="237"/>
      <c r="C27" s="236"/>
    </row>
    <row r="28" spans="2:20" x14ac:dyDescent="0.2">
      <c r="B28" s="237"/>
      <c r="C28" s="236"/>
    </row>
    <row r="29" spans="2:20" x14ac:dyDescent="0.2">
      <c r="B29" s="237"/>
      <c r="C29" s="236"/>
    </row>
    <row r="30" spans="2:20" x14ac:dyDescent="0.2">
      <c r="B30" s="237"/>
      <c r="C30" s="236"/>
    </row>
    <row r="31" spans="2:20" x14ac:dyDescent="0.2">
      <c r="B31" s="237"/>
      <c r="C31" s="236"/>
    </row>
  </sheetData>
  <sheetProtection sheet="1" objects="1" scenarios="1" selectLockedCells="1"/>
  <mergeCells count="9">
    <mergeCell ref="B17:T17"/>
    <mergeCell ref="B18:T18"/>
    <mergeCell ref="B20:F20"/>
    <mergeCell ref="B10:T10"/>
    <mergeCell ref="B12:T12"/>
    <mergeCell ref="B13:T13"/>
    <mergeCell ref="B14:T14"/>
    <mergeCell ref="B15:T15"/>
    <mergeCell ref="B16:T16"/>
  </mergeCells>
  <hyperlinks>
    <hyperlink ref="B15" r:id="rId1" xr:uid="{80241BBA-C5CC-462C-AB95-24A9DDC95052}"/>
    <hyperlink ref="G20" location="INSTRUCTIONS!B16" display="HERE" xr:uid="{24F12340-3876-4517-896D-AF157613560F}"/>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8F36E-F08A-4858-B16C-B275D9AB262E}">
  <dimension ref="B10:C24"/>
  <sheetViews>
    <sheetView zoomScale="90" zoomScaleNormal="90" workbookViewId="0">
      <selection activeCell="B24" sqref="B24"/>
    </sheetView>
  </sheetViews>
  <sheetFormatPr baseColWidth="10" defaultColWidth="8.83203125" defaultRowHeight="15" x14ac:dyDescent="0.2"/>
  <cols>
    <col min="1" max="1" width="8.83203125" style="18"/>
    <col min="2" max="2" width="36.5" style="18" customWidth="1"/>
    <col min="3" max="16384" width="8.83203125" style="18"/>
  </cols>
  <sheetData>
    <row r="10" spans="2:3" ht="19" x14ac:dyDescent="0.25">
      <c r="B10" s="228" t="s">
        <v>130</v>
      </c>
    </row>
    <row r="11" spans="2:3" x14ac:dyDescent="0.2">
      <c r="B11" s="227" t="s">
        <v>132</v>
      </c>
    </row>
    <row r="12" spans="2:3" x14ac:dyDescent="0.2">
      <c r="B12" s="18" t="s">
        <v>131</v>
      </c>
    </row>
    <row r="13" spans="2:3" x14ac:dyDescent="0.2">
      <c r="B13" s="18" t="s">
        <v>133</v>
      </c>
    </row>
    <row r="15" spans="2:3" ht="19" x14ac:dyDescent="0.25">
      <c r="B15" s="228" t="s">
        <v>129</v>
      </c>
    </row>
    <row r="16" spans="2:3" x14ac:dyDescent="0.2">
      <c r="B16" s="230" t="s">
        <v>127</v>
      </c>
      <c r="C16" s="229"/>
    </row>
    <row r="17" spans="2:3" x14ac:dyDescent="0.2">
      <c r="B17" s="230" t="s">
        <v>41</v>
      </c>
      <c r="C17" s="229"/>
    </row>
    <row r="18" spans="2:3" x14ac:dyDescent="0.2">
      <c r="B18" s="230" t="s">
        <v>40</v>
      </c>
      <c r="C18" s="229"/>
    </row>
    <row r="19" spans="2:3" x14ac:dyDescent="0.2">
      <c r="B19" s="230" t="s">
        <v>100</v>
      </c>
      <c r="C19" s="229"/>
    </row>
    <row r="20" spans="2:3" x14ac:dyDescent="0.2">
      <c r="B20" s="230" t="s">
        <v>102</v>
      </c>
      <c r="C20" s="229"/>
    </row>
    <row r="21" spans="2:3" x14ac:dyDescent="0.2">
      <c r="B21" s="230" t="s">
        <v>101</v>
      </c>
      <c r="C21" s="229"/>
    </row>
    <row r="22" spans="2:3" x14ac:dyDescent="0.2">
      <c r="B22" s="230" t="s">
        <v>109</v>
      </c>
      <c r="C22" s="229"/>
    </row>
    <row r="23" spans="2:3" x14ac:dyDescent="0.2">
      <c r="B23" s="230" t="s">
        <v>159</v>
      </c>
      <c r="C23" s="229"/>
    </row>
    <row r="24" spans="2:3" x14ac:dyDescent="0.2">
      <c r="B24" s="230" t="s">
        <v>128</v>
      </c>
      <c r="C24" s="229"/>
    </row>
  </sheetData>
  <sheetProtection sheet="1" objects="1" scenarios="1" selectLockedCells="1"/>
  <hyperlinks>
    <hyperlink ref="B16" location="'REIMBURSEMENTS AND REVENUES'!C2" display="REIMBURSEMENTS AND REVENUES" xr:uid="{B37387AE-3C64-4529-BFBA-F6498963C671}"/>
    <hyperlink ref="B17" location="ENROLLMENT!B2" display="DISTRICT ENROLLMENT" xr:uid="{A33D4F47-35E0-437F-ADE9-FBE722CC4440}"/>
    <hyperlink ref="B18" location="'PARTICIPATION RATES'!D3" display="PARTICIPATION RATES" xr:uid="{5E4FF1AF-7D2A-4D96-8FC3-B0425090129E}"/>
    <hyperlink ref="B19" location="'FOOD &amp; MATERIALS EXPENSE'!C4" display="FOOD &amp; MATERIALS EXPENSE" xr:uid="{C5C74373-FABF-4E2D-BB13-7A6130419F05}"/>
    <hyperlink ref="B21" location="'DIRECT LABOR ASSUMPTIONS'!D4" display="DIRECT LABOR ASSUMPTIONS" xr:uid="{94D864DE-B751-4F10-B8E7-F607477E7705}"/>
    <hyperlink ref="B20" location="'ADMIN LABOR ASSUMPTIONS'!C3" display="ADMINISTRATIVE LABOR ASSUMPTIONS" xr:uid="{A09B5A53-445F-4CA4-ABFB-88952E4AEA7D}"/>
    <hyperlink ref="B22" location="'OTHER EXPENSES'!C5" display="OTHER EXPENSES" xr:uid="{E59E6CA9-BCD0-4259-BA01-BA5047666D18}"/>
    <hyperlink ref="B23" location="'DETAILED COMPARATIVE P&amp;L'!B1" display="DETAILED COMPARATIVE PROFIT AND LOSS STATEMENT" xr:uid="{1380E3C9-9E50-4639-804B-2CE07789A10D}"/>
    <hyperlink ref="B24" location="CHARTS!C37" display="CHARTS" xr:uid="{05461C88-F2B4-4215-A3BC-BA78FB82777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EE676-76E8-4A1C-8812-41C0362B065E}">
  <dimension ref="A1:M23"/>
  <sheetViews>
    <sheetView zoomScale="80" zoomScaleNormal="80" workbookViewId="0">
      <pane xSplit="18" ySplit="24" topLeftCell="S25" activePane="bottomRight" state="frozen"/>
      <selection pane="topRight" activeCell="S1" sqref="S1"/>
      <selection pane="bottomLeft" activeCell="A25" sqref="A25"/>
      <selection pane="bottomRight" activeCell="C2" sqref="C2:D2"/>
    </sheetView>
  </sheetViews>
  <sheetFormatPr baseColWidth="10" defaultColWidth="8.83203125" defaultRowHeight="27.25" customHeight="1" x14ac:dyDescent="0.2"/>
  <cols>
    <col min="1" max="1" width="8.83203125" style="80"/>
    <col min="2" max="2" width="43.83203125" style="76" customWidth="1"/>
    <col min="3" max="4" width="15.33203125" style="76" customWidth="1"/>
    <col min="5" max="5" width="12" style="76" customWidth="1"/>
    <col min="6" max="6" width="8.83203125" style="76"/>
    <col min="7" max="7" width="24.5" style="76" customWidth="1"/>
    <col min="8" max="9" width="15.33203125" style="76" customWidth="1"/>
    <col min="10" max="10" width="11.6640625" style="76" customWidth="1"/>
    <col min="11" max="14" width="8.83203125" style="76"/>
    <col min="15" max="15" width="10.83203125" style="76" customWidth="1"/>
    <col min="16" max="16384" width="8.83203125" style="76"/>
  </cols>
  <sheetData>
    <row r="1" spans="2:13" ht="9" customHeight="1" x14ac:dyDescent="0.2"/>
    <row r="2" spans="2:13" ht="27.25" customHeight="1" x14ac:dyDescent="0.2">
      <c r="B2" s="15" t="s">
        <v>19</v>
      </c>
      <c r="C2" s="328" t="s">
        <v>10</v>
      </c>
      <c r="D2" s="328"/>
      <c r="E2" s="17"/>
      <c r="G2" s="240"/>
    </row>
    <row r="3" spans="2:13" ht="9" customHeight="1" x14ac:dyDescent="0.2">
      <c r="B3" s="19"/>
      <c r="C3" s="20"/>
      <c r="D3" s="16"/>
      <c r="E3" s="17"/>
    </row>
    <row r="4" spans="2:13" ht="27.25" customHeight="1" x14ac:dyDescent="0.2">
      <c r="B4" s="139" t="s">
        <v>32</v>
      </c>
      <c r="C4" s="287" t="s">
        <v>169</v>
      </c>
      <c r="D4" s="122"/>
      <c r="E4" s="123"/>
      <c r="G4" s="139" t="s">
        <v>75</v>
      </c>
      <c r="H4" s="122"/>
      <c r="I4" s="122"/>
      <c r="J4" s="123"/>
    </row>
    <row r="5" spans="2:13" ht="27.25" customHeight="1" x14ac:dyDescent="0.2">
      <c r="B5" s="124" t="s">
        <v>46</v>
      </c>
      <c r="C5" s="26" t="s">
        <v>171</v>
      </c>
      <c r="D5" s="285" t="s">
        <v>163</v>
      </c>
      <c r="E5" s="286" t="s">
        <v>168</v>
      </c>
      <c r="G5" s="86" t="s">
        <v>46</v>
      </c>
      <c r="H5" s="285" t="s">
        <v>169</v>
      </c>
      <c r="I5" s="285" t="s">
        <v>163</v>
      </c>
      <c r="J5" s="286" t="s">
        <v>168</v>
      </c>
    </row>
    <row r="6" spans="2:13" ht="27.25" customHeight="1" x14ac:dyDescent="0.2">
      <c r="B6" s="124" t="s">
        <v>72</v>
      </c>
      <c r="C6" s="24">
        <f>IF(AND($C$2="ALASKA",$C$5="SEVERE NEED"),'FEDERAL RATES (HIDDEN)'!$C$7,
IF(AND($C$2="ALASKA",$C$5="NON-SEVERE NEED"),'FEDERAL RATES (HIDDEN)'!$E$7,
IF(AND($C$2="HAWAII/PUERTO RICO",$C$5="SEVERE NEED"),'FEDERAL RATES (HIDDEN)'!$C$8,
IF(AND($C$2="HAWAII/PUERTO RICO",$C$5="SEVERE NEED"),'FEDERAL RATES (HIDDEN)'!$E$8,
IF(AND($C$2="CONTIGUOUS US",$C$5="SEVERE NEED"),'FEDERAL RATES (HIDDEN)'!$C$6,'FEDERAL RATES (HIDDEN)'!$E$6)))))</f>
        <v>2.2000000000000002</v>
      </c>
      <c r="D6" s="27">
        <v>0</v>
      </c>
      <c r="E6" s="125">
        <f>C6+D6</f>
        <v>2.2000000000000002</v>
      </c>
      <c r="G6" s="124" t="s">
        <v>0</v>
      </c>
      <c r="H6" s="24">
        <f>IF($C$2="ALASKA",'FEDERAL RATES (HIDDEN)'!$C$12,IF($C$2="HAWAII/PUERTO RICO",'FEDERAL RATES (HIDDEN)'!$C$13,'FEDERAL RATES (HIDDEN)'!$C$11))</f>
        <v>0.94</v>
      </c>
      <c r="I6" s="27">
        <v>0</v>
      </c>
      <c r="J6" s="125">
        <f>H6+I6</f>
        <v>0.94</v>
      </c>
    </row>
    <row r="7" spans="2:13" ht="27.25" customHeight="1" x14ac:dyDescent="0.2">
      <c r="B7" s="124" t="s">
        <v>73</v>
      </c>
      <c r="C7" s="24">
        <f>IF(AND($C$2="ALASKA",$C$5="SEVERE NEED"),'FEDERAL RATES (HIDDEN)'!$D$7,
IF(AND($C$2="ALASKA",$C$5="NON-SEVERE NEED"),'FEDERAL RATES (HIDDEN)'!$F$7,
IF(AND($C$2="HAWAII/PUERTO RICO",$C$5="SEVERE NEED"),'FEDERAL RATES (HIDDEN)'!$D$8,
IF(AND($C$2="HAWAII/PUERTO RICO",$C$5="SEVERE NEED"),'FEDERAL RATES (HIDDEN)'!$F$8,
IF(AND($C$2="CONTIGUOUS US",$C$5="SEVERE NEED"),'FEDERAL RATES (HIDDEN)'!$D$6,'FEDERAL RATES (HIDDEN)'!$F$6)))))</f>
        <v>1.9</v>
      </c>
      <c r="D7" s="27">
        <v>0</v>
      </c>
      <c r="E7" s="125">
        <f>C7+D7</f>
        <v>1.9</v>
      </c>
      <c r="G7" s="124" t="s">
        <v>58</v>
      </c>
      <c r="H7" s="24">
        <f>IF($C$2="ALASKA",'FEDERAL RATES (HIDDEN)'!$D$12,IF($C$2="HAWAII/PUERTO RICO",'FEDERAL RATES (HIDDEN)'!$D$13,'FEDERAL RATES (HIDDEN)'!$D$11))</f>
        <v>0.47</v>
      </c>
      <c r="I7" s="27">
        <v>0</v>
      </c>
      <c r="J7" s="125">
        <f>H7+I7</f>
        <v>0.47</v>
      </c>
    </row>
    <row r="8" spans="2:13" ht="27.25" customHeight="1" x14ac:dyDescent="0.2">
      <c r="B8" s="124" t="s">
        <v>74</v>
      </c>
      <c r="C8" s="24">
        <f>IF($C$2="ALASKA",'FEDERAL RATES (HIDDEN)'!$G$7,
IF($C$2="HAWAII/PUERTO RICO",'FEDERAL RATES (HIDDEN)'!$G$8,
'FEDERAL RATES (HIDDEN)'!$G$6))</f>
        <v>0.31</v>
      </c>
      <c r="D8" s="27">
        <v>0</v>
      </c>
      <c r="E8" s="125">
        <f>C8+D8</f>
        <v>0.31</v>
      </c>
      <c r="G8" s="124" t="s">
        <v>1</v>
      </c>
      <c r="H8" s="24">
        <f>IF($C$2="ALASKA",'FEDERAL RATES (HIDDEN)'!$E$12,IF($C$2="HAWAII/PUERTO RICO",'FEDERAL RATES (HIDDEN)'!$E$13,'FEDERAL RATES (HIDDEN)'!$E$11))</f>
        <v>0.08</v>
      </c>
      <c r="I8" s="27">
        <v>0</v>
      </c>
      <c r="J8" s="125">
        <f>H8+I8</f>
        <v>0.08</v>
      </c>
    </row>
    <row r="9" spans="2:13" ht="28" customHeight="1" x14ac:dyDescent="0.2">
      <c r="B9" s="67" t="s">
        <v>35</v>
      </c>
      <c r="C9" s="79">
        <v>0</v>
      </c>
      <c r="D9" s="126"/>
      <c r="E9" s="127"/>
      <c r="G9" s="133" t="s">
        <v>172</v>
      </c>
      <c r="H9" s="78">
        <v>1</v>
      </c>
      <c r="I9" s="134"/>
      <c r="J9" s="135"/>
    </row>
    <row r="10" spans="2:13" ht="28" customHeight="1" x14ac:dyDescent="0.2">
      <c r="B10" s="25"/>
      <c r="C10" s="17"/>
      <c r="D10" s="16"/>
      <c r="E10" s="16"/>
    </row>
    <row r="11" spans="2:13" ht="27.25" customHeight="1" x14ac:dyDescent="0.2">
      <c r="B11" s="139" t="s">
        <v>5</v>
      </c>
      <c r="C11" s="287" t="s">
        <v>169</v>
      </c>
      <c r="D11" s="122"/>
      <c r="E11" s="123"/>
      <c r="G11" s="139" t="s">
        <v>62</v>
      </c>
      <c r="H11" s="122"/>
      <c r="I11" s="122"/>
      <c r="J11" s="123"/>
    </row>
    <row r="12" spans="2:13" ht="27.25" customHeight="1" x14ac:dyDescent="0.2">
      <c r="B12" s="124" t="s">
        <v>31</v>
      </c>
      <c r="C12" s="26" t="s">
        <v>9</v>
      </c>
      <c r="D12" s="16"/>
      <c r="E12" s="128"/>
      <c r="G12" s="86" t="s">
        <v>46</v>
      </c>
      <c r="H12" s="285" t="s">
        <v>169</v>
      </c>
      <c r="I12" s="285" t="s">
        <v>163</v>
      </c>
      <c r="J12" s="286" t="s">
        <v>168</v>
      </c>
    </row>
    <row r="13" spans="2:13" ht="27.25" customHeight="1" x14ac:dyDescent="0.2">
      <c r="B13" s="124" t="s">
        <v>46</v>
      </c>
      <c r="C13" s="26" t="s">
        <v>13</v>
      </c>
      <c r="D13" s="285" t="s">
        <v>163</v>
      </c>
      <c r="E13" s="286" t="s">
        <v>168</v>
      </c>
      <c r="G13" s="124" t="s">
        <v>0</v>
      </c>
      <c r="H13" s="24">
        <f>IF($C$2="ALASKA",'FEDERAL RATES (HIDDEN)'!$C$17,IF($C$2="HAWAII/PUERTO RICO",'FEDERAL RATES (HIDDEN)'!$C$18,'FEDERAL RATES (HIDDEN)'!$C$16))</f>
        <v>3.41</v>
      </c>
      <c r="I13" s="27">
        <v>0</v>
      </c>
      <c r="J13" s="125">
        <f>H13+I13</f>
        <v>3.41</v>
      </c>
    </row>
    <row r="14" spans="2:13" ht="27.25" customHeight="1" x14ac:dyDescent="0.2">
      <c r="B14" s="124" t="s">
        <v>0</v>
      </c>
      <c r="C14" s="24">
        <f>IF(C12="YES",
'FEDERAL RATES (HIDDEN)'!$J$2+(IF(AND($C$2="ALASKA",$C$13="≥60%"),'FEDERAL RATES (HIDDEN)'!$K$13,
IF(AND($C$2="ALASKA",$C$13="&lt;60%"),'FEDERAL RATES (HIDDEN)'!$J$13,
IF(AND($C$2="HAWAII/PUERTO RICO",$C$13="≥60%"),'FEDERAL RATES (HIDDEN)'!$K$18,
IF(AND($C$2="HAWAII/PUERTO RICO",$C$13="&lt;60%"),'FEDERAL RATES (HIDDEN)'!$J$18,
IF(AND($C$2="CONTIGUOUS US",$C$13="≥60%"),'FEDERAL RATES (HIDDEN)'!$K$8,'FEDERAL RATES (HIDDEN)'!$J$8)))))),
(IF(AND($C$2="ALASKA",$C$13="≥60%"),'FEDERAL RATES (HIDDEN)'!$K$13,
IF(AND($C$2="ALASKA",$C$13="&lt;60%"),'FEDERAL RATES (HIDDEN)'!$J$13,
IF(AND($C$2="HAWAII/PUERTO RICO",$C$13="≥60%"),'FEDERAL RATES (HIDDEN)'!$K$18,
IF(AND($C$2="HAWAII/PUERTO RICO",$C$13="&lt;60%"),'FEDERAL RATES (HIDDEN)'!$J$18,
IF(AND($C$2="CONTIGUOUS US",$C$13="≥60%"),'FEDERAL RATES (HIDDEN)'!$K$8,'FEDERAL RATES (HIDDEN)'!$J$8)))))))</f>
        <v>3.41</v>
      </c>
      <c r="D14" s="27">
        <v>0</v>
      </c>
      <c r="E14" s="125">
        <f>C14+D14</f>
        <v>3.41</v>
      </c>
      <c r="G14" s="124" t="s">
        <v>58</v>
      </c>
      <c r="H14" s="24">
        <f>IF($C$2="ALASKA",'FEDERAL RATES (HIDDEN)'!$D$17,IF($C$2="HAWAII/PUERTO RICO",'FEDERAL RATES (HIDDEN)'!$D$18,'FEDERAL RATES (HIDDEN)'!$D$16))</f>
        <v>3.01</v>
      </c>
      <c r="I14" s="27">
        <v>0</v>
      </c>
      <c r="J14" s="125">
        <f>H14+I14</f>
        <v>3.01</v>
      </c>
    </row>
    <row r="15" spans="2:13" ht="27.25" customHeight="1" x14ac:dyDescent="0.2">
      <c r="B15" s="124" t="s">
        <v>58</v>
      </c>
      <c r="C15" s="24">
        <f>IF(C12="YES",
'FEDERAL RATES (HIDDEN)'!$J$2+(IF(AND($C$2="ALASKA",$C$13="≥60%"),'FEDERAL RATES (HIDDEN)'!$K$12,
IF(AND($C$2="ALASKA",$C$13="&lt;60%"),'FEDERAL RATES (HIDDEN)'!$J$12,
IF(AND($C$2="HAWAII/PUERTO RICO",$C$13="≥60%"),'FEDERAL RATES (HIDDEN)'!$K$17,
IF(AND($C$2="HAWAII/PUERTO RICO",$C$13="&lt;60%"),'FEDERAL RATES (HIDDEN)'!$J$17,
IF(AND($C$2="CONTIGUOUS US",$C$13="≥60%"),'FEDERAL RATES (HIDDEN)'!$K$7,'FEDERAL RATES (HIDDEN)'!$J$7)))))),
(IF(AND($C$2="ALASKA",$C$13="≥60%"),'FEDERAL RATES (HIDDEN)'!$K$12,
IF(AND($C$2="ALASKA",$C$13="&lt;60%"),'FEDERAL RATES (HIDDEN)'!$J$12,
IF(AND($C$2="HAWAII/PUERTO RICO",$C$13="≥60%"),'FEDERAL RATES (HIDDEN)'!$K$17,
IF(AND($C$2="HAWAII/PUERTO RICO",$C$13="&lt;60%"),'FEDERAL RATES (HIDDEN)'!$J$17,
IF(AND($C$2="CONTIGUOUS US",$C$13="≥60%"),'FEDERAL RATES (HIDDEN)'!$K$7,'FEDERAL RATES (HIDDEN)'!$J$7)))))))</f>
        <v>3.01</v>
      </c>
      <c r="D15" s="27">
        <v>0</v>
      </c>
      <c r="E15" s="125">
        <f>C15+D15</f>
        <v>3.01</v>
      </c>
      <c r="G15" s="136" t="s">
        <v>1</v>
      </c>
      <c r="H15" s="137">
        <f>IF($C$2="ALASKA",'FEDERAL RATES (HIDDEN)'!$E$17,IF($C$2="HAWAII/PUERTO RICO",'FEDERAL RATES (HIDDEN)'!$E$18,'FEDERAL RATES (HIDDEN)'!$E$16))</f>
        <v>0.32</v>
      </c>
      <c r="I15" s="27">
        <v>0</v>
      </c>
      <c r="J15" s="138">
        <f>H15+I15</f>
        <v>0.32</v>
      </c>
      <c r="M15" s="77"/>
    </row>
    <row r="16" spans="2:13" ht="27.25" customHeight="1" x14ac:dyDescent="0.2">
      <c r="B16" s="124" t="s">
        <v>1</v>
      </c>
      <c r="C16" s="24">
        <f>IF(C12="YES",
'FEDERAL RATES (HIDDEN)'!$J$2+(IF(AND($C$2="ALASKA",$C$13="≥60%"),'FEDERAL RATES (HIDDEN)'!$K$11,
IF(AND($C$2="ALASKA",$C$13="&lt;60%"),'FEDERAL RATES (HIDDEN)'!$J$11,
IF(AND($C$2="HAWAII/PUERTO RICO",$C$13="≥60%"),'FEDERAL RATES (HIDDEN)'!$K$16,
IF(AND($C$2="HAWAII/PUERTO RICO",$C$13="&lt;60%"),'FEDERAL RATES (HIDDEN)'!$J$16,
IF(AND($C$2="CONTIGUOUS US",$C$13="≥60%"),'FEDERAL RATES (HIDDEN)'!$K$6,'FEDERAL RATES (HIDDEN)'!$J$6)))))),
(IF(AND($C$2="ALASKA",$C$13="≥60%"),'FEDERAL RATES (HIDDEN)'!$K$11,
IF(AND($C$2="ALASKA",$C$13="&lt;60%"),'FEDERAL RATES (HIDDEN)'!$J$11,
IF(AND($C$2="HAWAII/PUERTO RICO",$C$13="≥60%"),'FEDERAL RATES (HIDDEN)'!$K$16,
IF(AND($C$2="HAWAII/PUERTO RICO",$C$13="&lt;60%"),'FEDERAL RATES (HIDDEN)'!$J$16,
IF(AND($C$2="CONTIGUOUS US",$C$13="≥60%"),'FEDERAL RATES (HIDDEN)'!$K$6,'FEDERAL RATES (HIDDEN)'!$J$6)))))))</f>
        <v>0.32</v>
      </c>
      <c r="D16" s="27">
        <v>0</v>
      </c>
      <c r="E16" s="125">
        <f>C16+D16</f>
        <v>0.32</v>
      </c>
    </row>
    <row r="17" spans="2:11" ht="27.25" customHeight="1" x14ac:dyDescent="0.2">
      <c r="B17" s="66" t="s">
        <v>36</v>
      </c>
      <c r="C17" s="79">
        <v>0</v>
      </c>
      <c r="D17" s="80"/>
      <c r="E17" s="129"/>
    </row>
    <row r="18" spans="2:11" ht="9" customHeight="1" x14ac:dyDescent="0.2">
      <c r="B18" s="130"/>
      <c r="C18" s="80"/>
      <c r="D18" s="80"/>
      <c r="E18" s="129"/>
    </row>
    <row r="19" spans="2:11" ht="27.25" customHeight="1" x14ac:dyDescent="0.2">
      <c r="B19" s="111" t="s">
        <v>51</v>
      </c>
      <c r="C19" s="81">
        <v>180</v>
      </c>
      <c r="D19" s="131"/>
      <c r="E19" s="132"/>
      <c r="F19" s="80"/>
    </row>
    <row r="20" spans="2:11" ht="27.25" customHeight="1" x14ac:dyDescent="0.2">
      <c r="D20" s="82"/>
      <c r="E20" s="82"/>
      <c r="F20" s="17"/>
    </row>
    <row r="21" spans="2:11" ht="27.25" customHeight="1" x14ac:dyDescent="0.2">
      <c r="B21" s="330" t="s">
        <v>77</v>
      </c>
      <c r="C21" s="330"/>
      <c r="D21" s="82"/>
      <c r="H21" s="329" t="s">
        <v>68</v>
      </c>
      <c r="I21" s="329"/>
      <c r="J21" s="329"/>
      <c r="K21" s="329"/>
    </row>
    <row r="22" spans="2:11" ht="27.25" customHeight="1" x14ac:dyDescent="0.2">
      <c r="D22" s="83"/>
      <c r="E22" s="83"/>
      <c r="F22" s="84"/>
    </row>
    <row r="23" spans="2:11" ht="27.25" customHeight="1" x14ac:dyDescent="0.2">
      <c r="E23" s="80"/>
      <c r="F23" s="80"/>
    </row>
  </sheetData>
  <sheetProtection sheet="1" selectLockedCells="1"/>
  <mergeCells count="3">
    <mergeCell ref="C2:D2"/>
    <mergeCell ref="H21:K21"/>
    <mergeCell ref="B21:C21"/>
  </mergeCells>
  <dataValidations count="4">
    <dataValidation type="list" allowBlank="1" showInputMessage="1" showErrorMessage="1" sqref="C13" xr:uid="{27EB69FA-4E25-468D-B7EF-E93B9169091B}">
      <formula1>"≥60%,&lt;60%"</formula1>
    </dataValidation>
    <dataValidation type="list" allowBlank="1" showInputMessage="1" showErrorMessage="1" sqref="C12" xr:uid="{5A2B7DE3-CCFE-487A-A514-75E7DE93B3B6}">
      <formula1>"YES,NO"</formula1>
    </dataValidation>
    <dataValidation type="list" allowBlank="1" showInputMessage="1" showErrorMessage="1" sqref="C5" xr:uid="{33993B87-61BA-44FA-BB61-B55511BCE805}">
      <formula1>"SEVERE NEED,NON-SEVERE NEED"</formula1>
    </dataValidation>
    <dataValidation type="list" allowBlank="1" showInputMessage="1" showErrorMessage="1" sqref="C2" xr:uid="{3DDAD8CA-4DBE-458C-AD36-8A6FE40974B0}">
      <formula1>"CONTIGUOUS US,ALASKA,HAWAII/PUERTO RICO"</formula1>
    </dataValidation>
  </dataValidations>
  <hyperlinks>
    <hyperlink ref="H21" location="'DISTRICT ENROLLMENT'!A1" display="CLICK HERE TO ADVANCE TO THE NEXT PAGE" xr:uid="{3767EC37-CF16-47C6-AD57-A027F26742B7}"/>
    <hyperlink ref="H21:K21" location="ENROLLMENT!B2" display="CLICK HERE TO ADVANCE TO THE NEXT PAGE" xr:uid="{B020AE88-F1D8-423D-B4DC-75FE48FCD24B}"/>
    <hyperlink ref="B21" location="'REIMBURSEMENTS AND REVENUES'!C2" display="CLICK HERE TO ADVANCE TO THE NEXT PAGE" xr:uid="{7F3CE9B2-78F2-4A77-A594-632D9798C7F9}"/>
    <hyperlink ref="B21:C21" location="INSTRUCTIONS!B16" display="CLICK HERE TO RETURN TO THE PREVIOUS PAGE" xr:uid="{4A5F6662-3ECC-469D-8358-445ADD29EAD2}"/>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F0AAF-FF4A-4198-BB27-A3A160C50688}">
  <dimension ref="A1"/>
  <sheetViews>
    <sheetView workbookViewId="0"/>
  </sheetViews>
  <sheetFormatPr baseColWidth="10" defaultColWidth="8.83203125" defaultRowHeight="15"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38101-4F1D-4FD5-83B4-74395B0F15B0}">
  <dimension ref="B1:R24"/>
  <sheetViews>
    <sheetView zoomScale="80" zoomScaleNormal="80" workbookViewId="0">
      <selection activeCell="I4" sqref="I4"/>
    </sheetView>
  </sheetViews>
  <sheetFormatPr baseColWidth="10" defaultColWidth="8.83203125" defaultRowHeight="26.5" customHeight="1" x14ac:dyDescent="0.2"/>
  <cols>
    <col min="1" max="1" width="2.1640625" style="25" customWidth="1"/>
    <col min="2" max="2" width="34.6640625" style="28" bestFit="1" customWidth="1"/>
    <col min="3" max="3" width="10.83203125" style="28" customWidth="1"/>
    <col min="4" max="4" width="2.1640625" style="59" customWidth="1"/>
    <col min="5" max="6" width="10.83203125" style="28" customWidth="1"/>
    <col min="7" max="7" width="4.33203125" style="25" customWidth="1"/>
    <col min="8" max="8" width="34.6640625" style="25" bestFit="1" customWidth="1"/>
    <col min="9" max="9" width="10.83203125" style="25" customWidth="1"/>
    <col min="10" max="10" width="1.6640625" style="25" customWidth="1"/>
    <col min="11" max="12" width="10.83203125" style="25" customWidth="1"/>
    <col min="13" max="13" width="1.6640625" style="25" customWidth="1"/>
    <col min="14" max="14" width="34.1640625" style="72" customWidth="1"/>
    <col min="15" max="15" width="13.6640625" style="72" customWidth="1"/>
    <col min="16" max="16" width="1.6640625" style="72" customWidth="1"/>
    <col min="17" max="16384" width="8.83203125" style="25"/>
  </cols>
  <sheetData>
    <row r="1" spans="2:18" ht="38.25" customHeight="1" x14ac:dyDescent="0.2">
      <c r="B1" s="108" t="s">
        <v>143</v>
      </c>
      <c r="C1" s="239" t="s">
        <v>98</v>
      </c>
      <c r="E1" s="331" t="s">
        <v>99</v>
      </c>
      <c r="F1" s="334"/>
      <c r="I1" s="288" t="s">
        <v>98</v>
      </c>
      <c r="J1" s="103"/>
      <c r="K1" s="334" t="s">
        <v>99</v>
      </c>
      <c r="L1" s="334"/>
      <c r="N1" s="104"/>
      <c r="O1" s="239" t="s">
        <v>98</v>
      </c>
      <c r="P1" s="103"/>
      <c r="Q1" s="331" t="s">
        <v>99</v>
      </c>
      <c r="R1" s="332"/>
    </row>
    <row r="2" spans="2:18" ht="24.75" customHeight="1" x14ac:dyDescent="0.2">
      <c r="B2" s="268" t="s">
        <v>149</v>
      </c>
      <c r="C2" s="106" t="s">
        <v>78</v>
      </c>
      <c r="D2" s="92"/>
      <c r="E2" s="106" t="s">
        <v>50</v>
      </c>
      <c r="F2" s="95" t="s">
        <v>47</v>
      </c>
      <c r="H2" s="268" t="s">
        <v>150</v>
      </c>
      <c r="I2" s="106" t="s">
        <v>78</v>
      </c>
      <c r="J2" s="92"/>
      <c r="K2" s="106" t="s">
        <v>50</v>
      </c>
      <c r="L2" s="96" t="s">
        <v>47</v>
      </c>
      <c r="N2" s="105" t="s">
        <v>76</v>
      </c>
      <c r="O2" s="106" t="s">
        <v>78</v>
      </c>
      <c r="P2" s="92"/>
      <c r="Q2" s="106" t="s">
        <v>50</v>
      </c>
      <c r="R2" s="107" t="s">
        <v>47</v>
      </c>
    </row>
    <row r="3" spans="2:18" ht="25" customHeight="1" x14ac:dyDescent="0.2">
      <c r="B3" s="302" t="s">
        <v>170</v>
      </c>
      <c r="C3" s="303"/>
      <c r="D3" s="295"/>
      <c r="E3" s="304"/>
      <c r="F3" s="294">
        <v>0</v>
      </c>
      <c r="H3" s="302" t="s">
        <v>170</v>
      </c>
      <c r="I3" s="303"/>
      <c r="J3" s="295"/>
      <c r="K3" s="304"/>
      <c r="L3" s="294">
        <v>0</v>
      </c>
      <c r="N3" s="65" t="s">
        <v>64</v>
      </c>
      <c r="O3" s="75">
        <f>SUM(C4,I4,C15,I15)</f>
        <v>0</v>
      </c>
      <c r="P3" s="69"/>
      <c r="Q3" s="97">
        <f>SUM(E4,K4,E15,K15)</f>
        <v>0</v>
      </c>
      <c r="R3" s="100">
        <f>SUM(F4,L4,F15,L15)</f>
        <v>0</v>
      </c>
    </row>
    <row r="4" spans="2:18" ht="24.75" customHeight="1" x14ac:dyDescent="0.2">
      <c r="B4" s="65" t="s">
        <v>64</v>
      </c>
      <c r="C4" s="308">
        <v>0</v>
      </c>
      <c r="D4" s="74"/>
      <c r="E4" s="308">
        <v>0</v>
      </c>
      <c r="F4" s="100">
        <f>ROUND(F8*F7,0)</f>
        <v>0</v>
      </c>
      <c r="H4" s="65" t="s">
        <v>64</v>
      </c>
      <c r="I4" s="308">
        <v>0</v>
      </c>
      <c r="J4" s="74"/>
      <c r="K4" s="308">
        <v>0</v>
      </c>
      <c r="L4" s="100">
        <f>ROUND(L8*L7,0)</f>
        <v>0</v>
      </c>
      <c r="N4" s="65" t="s">
        <v>65</v>
      </c>
      <c r="O4" s="75">
        <f>SUM(C5,I5,C16,I16)</f>
        <v>0</v>
      </c>
      <c r="P4" s="69"/>
      <c r="Q4" s="97">
        <f>SUM(E5,K5,E16,K16)</f>
        <v>0</v>
      </c>
      <c r="R4" s="100">
        <v>0</v>
      </c>
    </row>
    <row r="5" spans="2:18" ht="24.75" customHeight="1" x14ac:dyDescent="0.2">
      <c r="B5" s="65" t="s">
        <v>65</v>
      </c>
      <c r="C5" s="308">
        <v>0</v>
      </c>
      <c r="D5" s="74"/>
      <c r="E5" s="308">
        <v>0</v>
      </c>
      <c r="F5" s="100">
        <v>0</v>
      </c>
      <c r="H5" s="65" t="s">
        <v>65</v>
      </c>
      <c r="I5" s="308">
        <v>0</v>
      </c>
      <c r="J5" s="74"/>
      <c r="K5" s="308">
        <v>0</v>
      </c>
      <c r="L5" s="100">
        <v>0</v>
      </c>
      <c r="N5" s="65" t="s">
        <v>66</v>
      </c>
      <c r="O5" s="75">
        <f>SUM(C6,I6,C17,I17)</f>
        <v>0</v>
      </c>
      <c r="P5" s="69"/>
      <c r="Q5" s="97">
        <f>SUM(E6,K6,E17,K17)</f>
        <v>0</v>
      </c>
      <c r="R5" s="100">
        <f>SUM(F6,L6,F17,L17)</f>
        <v>0</v>
      </c>
    </row>
    <row r="6" spans="2:18" ht="24.75" customHeight="1" x14ac:dyDescent="0.2">
      <c r="B6" s="65" t="s">
        <v>66</v>
      </c>
      <c r="C6" s="308">
        <v>0</v>
      </c>
      <c r="D6" s="69"/>
      <c r="E6" s="308">
        <v>0</v>
      </c>
      <c r="F6" s="100">
        <f>F7-F4</f>
        <v>0</v>
      </c>
      <c r="H6" s="65" t="s">
        <v>66</v>
      </c>
      <c r="I6" s="308">
        <v>0</v>
      </c>
      <c r="J6" s="69"/>
      <c r="K6" s="308">
        <v>0</v>
      </c>
      <c r="L6" s="100">
        <f>L7-L4</f>
        <v>0</v>
      </c>
      <c r="N6" s="64" t="s">
        <v>30</v>
      </c>
      <c r="O6" s="75">
        <f>SUM(C7,I7,C18,I18)</f>
        <v>0</v>
      </c>
      <c r="P6" s="69"/>
      <c r="Q6" s="97">
        <f>SUM(E7,K7,E18,K18)</f>
        <v>0</v>
      </c>
      <c r="R6" s="100">
        <f>SUM(F7,L7,F18,L18)</f>
        <v>0</v>
      </c>
    </row>
    <row r="7" spans="2:18" ht="24.75" customHeight="1" x14ac:dyDescent="0.2">
      <c r="B7" s="64" t="s">
        <v>30</v>
      </c>
      <c r="C7" s="75">
        <f>SUM(C4:C6)</f>
        <v>0</v>
      </c>
      <c r="D7" s="74"/>
      <c r="E7" s="97">
        <f>SUM(E4:E6)</f>
        <v>0</v>
      </c>
      <c r="F7" s="100">
        <f>C7-E7</f>
        <v>0</v>
      </c>
      <c r="H7" s="64" t="s">
        <v>30</v>
      </c>
      <c r="I7" s="75">
        <f>SUM(I4:I6)</f>
        <v>0</v>
      </c>
      <c r="J7" s="74"/>
      <c r="K7" s="97">
        <f>SUM(K4:K6)</f>
        <v>0</v>
      </c>
      <c r="L7" s="100">
        <f>I7-K7</f>
        <v>0</v>
      </c>
      <c r="N7" s="66" t="s">
        <v>69</v>
      </c>
      <c r="O7" s="87">
        <f>IF(OR(O$6=0,O3=0),0,O3/O$6)</f>
        <v>0</v>
      </c>
      <c r="P7" s="88"/>
      <c r="Q7" s="98">
        <f>IF(OR(Q$6=0,Q3=0),0,Q3/Q$6)</f>
        <v>0</v>
      </c>
      <c r="R7" s="101">
        <f>IF(OR(R$6=0,R3=0),0,R3/R$6)</f>
        <v>0</v>
      </c>
    </row>
    <row r="8" spans="2:18" ht="24.75" customHeight="1" x14ac:dyDescent="0.2">
      <c r="B8" s="291" t="s">
        <v>69</v>
      </c>
      <c r="C8" s="296">
        <f>IF(OR(C$7=0,C4=0),0,C4/C$7)</f>
        <v>0</v>
      </c>
      <c r="D8" s="292"/>
      <c r="E8" s="299">
        <f>IF(OR(E$7=0,E4=0),0,E4/E$7)</f>
        <v>0</v>
      </c>
      <c r="F8" s="293">
        <f>IF(ROUND(F3,4)&lt;0.4,ROUND(F3,4),ROUND(MIN(1,F3*'FEDERAL RATES (HIDDEN)'!$C$2),4))</f>
        <v>0</v>
      </c>
      <c r="H8" s="291" t="s">
        <v>69</v>
      </c>
      <c r="I8" s="296">
        <f>IF(OR(C$7=0,I4=0),0,I4/C$7)</f>
        <v>0</v>
      </c>
      <c r="J8" s="292"/>
      <c r="K8" s="299">
        <f>IF(OR(E$7=0,K4=0),0,K4/E$7)</f>
        <v>0</v>
      </c>
      <c r="L8" s="293">
        <f>IF(ROUND(L3,4)&lt;0.4,ROUND(L3,4),ROUND(MIN(1,L3*'FEDERAL RATES (HIDDEN)'!$C$2),4))</f>
        <v>0</v>
      </c>
      <c r="N8" s="66" t="s">
        <v>70</v>
      </c>
      <c r="O8" s="87">
        <f>IF(OR(O$6=0,O4=0),0,O4/O$6)</f>
        <v>0</v>
      </c>
      <c r="P8" s="88"/>
      <c r="Q8" s="98">
        <f>IF(OR(Q$6=0,Q4=0),0,Q4/Q$6)</f>
        <v>0</v>
      </c>
      <c r="R8" s="101">
        <v>0</v>
      </c>
    </row>
    <row r="9" spans="2:18" ht="24.75" customHeight="1" x14ac:dyDescent="0.2">
      <c r="B9" s="66" t="s">
        <v>70</v>
      </c>
      <c r="C9" s="297">
        <f>IF(OR(C$7=0,C5=0),0,C5/C$7)</f>
        <v>0</v>
      </c>
      <c r="D9" s="70"/>
      <c r="E9" s="300">
        <f>IF(OR(E$7=0,E5=0),0,E5/E$7)</f>
        <v>0</v>
      </c>
      <c r="F9" s="289">
        <v>0</v>
      </c>
      <c r="H9" s="66" t="s">
        <v>70</v>
      </c>
      <c r="I9" s="297">
        <f>IF(OR(C$7=0,I5=0),0,I5/C$7)</f>
        <v>0</v>
      </c>
      <c r="J9" s="70"/>
      <c r="K9" s="300">
        <f>IF(OR(E$7=0,K5=0),0,K5/E$7)</f>
        <v>0</v>
      </c>
      <c r="L9" s="289">
        <v>0</v>
      </c>
      <c r="N9" s="67" t="s">
        <v>71</v>
      </c>
      <c r="O9" s="89">
        <f>IF(OR(O$6=0,O5=0),0,O5/O$6)</f>
        <v>0</v>
      </c>
      <c r="P9" s="93"/>
      <c r="Q9" s="99">
        <f>IF(OR(Q$6=0,Q5=0),0,Q5/Q$6)</f>
        <v>0</v>
      </c>
      <c r="R9" s="102">
        <f>IF(OR(R$6=0,R5=0),0,R5/R$6)</f>
        <v>0</v>
      </c>
    </row>
    <row r="10" spans="2:18" ht="24.75" customHeight="1" x14ac:dyDescent="0.2">
      <c r="B10" s="67" t="s">
        <v>71</v>
      </c>
      <c r="C10" s="298">
        <f>IF(OR(C$7=0,C6=0),0,C6/C$7)</f>
        <v>0</v>
      </c>
      <c r="D10" s="71"/>
      <c r="E10" s="301">
        <f>IF(OR(E$7=0,E6=0),0,E6/E$7)</f>
        <v>0</v>
      </c>
      <c r="F10" s="290">
        <f>IF(F7=0,0,1-F8)</f>
        <v>0</v>
      </c>
      <c r="H10" s="67" t="s">
        <v>71</v>
      </c>
      <c r="I10" s="298">
        <f>IF(OR(C$7=0,I6=0),0,I6/C$7)</f>
        <v>0</v>
      </c>
      <c r="J10" s="71"/>
      <c r="K10" s="301">
        <f>IF(OR(E$7=0,K6=0),0,K6/E$7)</f>
        <v>0</v>
      </c>
      <c r="L10" s="290">
        <f>IF(L7=0,0,1-L8)</f>
        <v>0</v>
      </c>
    </row>
    <row r="11" spans="2:18" ht="24.75" customHeight="1" x14ac:dyDescent="0.2">
      <c r="B11" s="61"/>
      <c r="C11" s="73"/>
      <c r="D11" s="68"/>
      <c r="E11" s="62"/>
      <c r="F11" s="91"/>
      <c r="H11" s="61"/>
      <c r="I11" s="73"/>
      <c r="J11" s="68"/>
      <c r="K11" s="62"/>
      <c r="L11" s="91"/>
      <c r="N11" s="61"/>
      <c r="O11" s="73"/>
      <c r="P11" s="68"/>
      <c r="Q11" s="62"/>
      <c r="R11" s="91"/>
    </row>
    <row r="12" spans="2:18" ht="24.75" customHeight="1" x14ac:dyDescent="0.2">
      <c r="B12" s="25"/>
      <c r="C12" s="239" t="s">
        <v>98</v>
      </c>
      <c r="D12" s="103"/>
      <c r="E12" s="334" t="s">
        <v>99</v>
      </c>
      <c r="F12" s="334"/>
      <c r="G12" s="104"/>
      <c r="I12" s="239" t="s">
        <v>98</v>
      </c>
      <c r="J12" s="103"/>
      <c r="K12" s="331" t="s">
        <v>99</v>
      </c>
      <c r="L12" s="332"/>
    </row>
    <row r="13" spans="2:18" ht="24.75" customHeight="1" x14ac:dyDescent="0.2">
      <c r="B13" s="268" t="s">
        <v>151</v>
      </c>
      <c r="C13" s="106" t="s">
        <v>78</v>
      </c>
      <c r="D13" s="92"/>
      <c r="E13" s="106" t="s">
        <v>50</v>
      </c>
      <c r="F13" s="96" t="s">
        <v>47</v>
      </c>
      <c r="H13" s="268" t="s">
        <v>152</v>
      </c>
      <c r="I13" s="106" t="s">
        <v>78</v>
      </c>
      <c r="J13" s="92"/>
      <c r="K13" s="106" t="s">
        <v>50</v>
      </c>
      <c r="L13" s="96" t="s">
        <v>47</v>
      </c>
      <c r="N13" s="333" t="s">
        <v>77</v>
      </c>
      <c r="O13" s="333"/>
    </row>
    <row r="14" spans="2:18" ht="24.75" customHeight="1" x14ac:dyDescent="0.2">
      <c r="B14" s="302" t="s">
        <v>170</v>
      </c>
      <c r="C14" s="303"/>
      <c r="D14" s="295"/>
      <c r="E14" s="304"/>
      <c r="F14" s="294">
        <v>0</v>
      </c>
      <c r="H14" s="302" t="s">
        <v>170</v>
      </c>
      <c r="I14" s="303"/>
      <c r="J14" s="295"/>
      <c r="K14" s="304"/>
      <c r="L14" s="294">
        <v>0</v>
      </c>
    </row>
    <row r="15" spans="2:18" ht="24.75" customHeight="1" x14ac:dyDescent="0.2">
      <c r="B15" s="65" t="s">
        <v>64</v>
      </c>
      <c r="C15" s="308">
        <v>0</v>
      </c>
      <c r="D15" s="74"/>
      <c r="E15" s="308">
        <v>0</v>
      </c>
      <c r="F15" s="100">
        <f>ROUND(F19*F18,0)</f>
        <v>0</v>
      </c>
      <c r="H15" s="65" t="s">
        <v>64</v>
      </c>
      <c r="I15" s="308">
        <v>0</v>
      </c>
      <c r="J15" s="74"/>
      <c r="K15" s="308">
        <v>0</v>
      </c>
      <c r="L15" s="100">
        <f>ROUND(L19*L18,0)</f>
        <v>0</v>
      </c>
    </row>
    <row r="16" spans="2:18" ht="24.75" customHeight="1" x14ac:dyDescent="0.2">
      <c r="B16" s="65" t="s">
        <v>65</v>
      </c>
      <c r="C16" s="308">
        <v>0</v>
      </c>
      <c r="D16" s="74"/>
      <c r="E16" s="308">
        <v>0</v>
      </c>
      <c r="F16" s="100">
        <v>0</v>
      </c>
      <c r="H16" s="65" t="s">
        <v>65</v>
      </c>
      <c r="I16" s="308">
        <v>0</v>
      </c>
      <c r="J16" s="74"/>
      <c r="K16" s="308">
        <v>0</v>
      </c>
      <c r="L16" s="100">
        <v>0</v>
      </c>
    </row>
    <row r="17" spans="2:16" ht="24.75" customHeight="1" x14ac:dyDescent="0.2">
      <c r="B17" s="65" t="s">
        <v>66</v>
      </c>
      <c r="C17" s="308">
        <v>0</v>
      </c>
      <c r="D17" s="69"/>
      <c r="E17" s="308">
        <v>0</v>
      </c>
      <c r="F17" s="100">
        <f>F18-F15</f>
        <v>0</v>
      </c>
      <c r="H17" s="65" t="s">
        <v>66</v>
      </c>
      <c r="I17" s="308">
        <v>0</v>
      </c>
      <c r="J17" s="69"/>
      <c r="K17" s="308">
        <v>0</v>
      </c>
      <c r="L17" s="100">
        <f>L18-L15</f>
        <v>0</v>
      </c>
    </row>
    <row r="18" spans="2:16" ht="24.75" customHeight="1" x14ac:dyDescent="0.2">
      <c r="B18" s="64" t="s">
        <v>30</v>
      </c>
      <c r="C18" s="75">
        <f>SUM(C15:C17)</f>
        <v>0</v>
      </c>
      <c r="D18" s="74"/>
      <c r="E18" s="97">
        <f>SUM(E15:E17)</f>
        <v>0</v>
      </c>
      <c r="F18" s="100">
        <f>C18-E18</f>
        <v>0</v>
      </c>
      <c r="H18" s="64" t="s">
        <v>30</v>
      </c>
      <c r="I18" s="75">
        <f>SUM(I15:I17)</f>
        <v>0</v>
      </c>
      <c r="J18" s="74"/>
      <c r="K18" s="97">
        <f>SUM(K15:K17)</f>
        <v>0</v>
      </c>
      <c r="L18" s="100">
        <f>I18-K18</f>
        <v>0</v>
      </c>
    </row>
    <row r="19" spans="2:16" ht="24.75" customHeight="1" x14ac:dyDescent="0.2">
      <c r="B19" s="291" t="s">
        <v>69</v>
      </c>
      <c r="C19" s="296">
        <f>IF(OR(C$18=0,C15=0),0,C15/C$18)</f>
        <v>0</v>
      </c>
      <c r="D19" s="292"/>
      <c r="E19" s="299">
        <f>IF(OR(E$18=0,E15=0),0,E15/E$18)</f>
        <v>0</v>
      </c>
      <c r="F19" s="293">
        <f>IF(ROUND(F14,4)&lt;0.4,ROUND(F14,4),ROUND(MIN(1,F14*'FEDERAL RATES (HIDDEN)'!$C$2),4))</f>
        <v>0</v>
      </c>
      <c r="H19" s="291" t="s">
        <v>69</v>
      </c>
      <c r="I19" s="296">
        <f>IF(OR(C$18=0,I15=0),0,I15/C$18)</f>
        <v>0</v>
      </c>
      <c r="J19" s="292"/>
      <c r="K19" s="299">
        <f>IF(OR(E$18=0,K15=0),0,K15/E$18)</f>
        <v>0</v>
      </c>
      <c r="L19" s="293">
        <f>IF(ROUND(L14,4)&lt;0.4,ROUND(L14,4),ROUND(MIN(1,L14*'FEDERAL RATES (HIDDEN)'!$C$2),4))</f>
        <v>0</v>
      </c>
    </row>
    <row r="20" spans="2:16" ht="24.75" customHeight="1" x14ac:dyDescent="0.2">
      <c r="B20" s="66" t="s">
        <v>70</v>
      </c>
      <c r="C20" s="297">
        <f>IF(OR(C$18=0,C16=0),0,C16/C$18)</f>
        <v>0</v>
      </c>
      <c r="D20" s="70"/>
      <c r="E20" s="300">
        <f>IF(OR(E$18=0,E16=0),0,E16/E$18)</f>
        <v>0</v>
      </c>
      <c r="F20" s="289">
        <v>0</v>
      </c>
      <c r="H20" s="66" t="s">
        <v>70</v>
      </c>
      <c r="I20" s="297">
        <f>IF(OR(C$18=0,I16=0),0,I16/C$18)</f>
        <v>0</v>
      </c>
      <c r="J20" s="70"/>
      <c r="K20" s="300">
        <f>IF(OR(E$18=0,K16=0),0,K16/E$18)</f>
        <v>0</v>
      </c>
      <c r="L20" s="289">
        <v>0</v>
      </c>
    </row>
    <row r="21" spans="2:16" ht="24.75" customHeight="1" x14ac:dyDescent="0.2">
      <c r="B21" s="67" t="s">
        <v>71</v>
      </c>
      <c r="C21" s="298">
        <f>IF(OR(C$18=0,C17=0),0,C17/C$18)</f>
        <v>0</v>
      </c>
      <c r="D21" s="71"/>
      <c r="E21" s="301">
        <f>IF(OR(E$18=0,E17=0),0,E17/E$18)</f>
        <v>0</v>
      </c>
      <c r="F21" s="290">
        <f>IF(F18=0,0,1-F19)</f>
        <v>0</v>
      </c>
      <c r="H21" s="67" t="s">
        <v>71</v>
      </c>
      <c r="I21" s="298">
        <f>IF(OR(C$18=0,I17=0),0,I17/C$18)</f>
        <v>0</v>
      </c>
      <c r="J21" s="71"/>
      <c r="K21" s="301">
        <f>IF(OR(E$18=0,K17=0),0,K17/E$18)</f>
        <v>0</v>
      </c>
      <c r="L21" s="290">
        <f>IF(L18=0,0,1-L19)</f>
        <v>0</v>
      </c>
      <c r="N21" s="329" t="s">
        <v>68</v>
      </c>
      <c r="O21" s="329"/>
      <c r="P21" s="329"/>
    </row>
    <row r="22" spans="2:16" ht="24.75" customHeight="1" x14ac:dyDescent="0.2">
      <c r="B22" s="61"/>
      <c r="C22" s="73"/>
      <c r="D22" s="68"/>
      <c r="E22" s="62"/>
      <c r="F22" s="91"/>
      <c r="H22" s="61"/>
      <c r="I22" s="73"/>
      <c r="J22" s="68"/>
      <c r="K22" s="62"/>
      <c r="L22" s="91"/>
      <c r="N22" s="25"/>
      <c r="O22" s="25"/>
      <c r="P22" s="25"/>
    </row>
    <row r="23" spans="2:16" ht="7" customHeight="1" x14ac:dyDescent="0.2">
      <c r="E23" s="60"/>
      <c r="F23" s="60"/>
    </row>
    <row r="24" spans="2:16" s="73" customFormat="1" ht="26.5" customHeight="1" x14ac:dyDescent="0.2"/>
  </sheetData>
  <sheetProtection sheet="1" selectLockedCells="1"/>
  <mergeCells count="7">
    <mergeCell ref="N21:P21"/>
    <mergeCell ref="Q1:R1"/>
    <mergeCell ref="N13:O13"/>
    <mergeCell ref="K12:L12"/>
    <mergeCell ref="E1:F1"/>
    <mergeCell ref="K1:L1"/>
    <mergeCell ref="E12:F12"/>
  </mergeCells>
  <conditionalFormatting sqref="E4 F3 F14 L3 L14">
    <cfRule type="expression" dxfId="11" priority="41">
      <formula>$E$4&gt;$C$4</formula>
    </cfRule>
  </conditionalFormatting>
  <conditionalFormatting sqref="E5">
    <cfRule type="expression" dxfId="10" priority="40">
      <formula>$E$5&gt;$C$5</formula>
    </cfRule>
  </conditionalFormatting>
  <conditionalFormatting sqref="E6">
    <cfRule type="expression" dxfId="9" priority="39">
      <formula>$E$6&gt;$C$6</formula>
    </cfRule>
  </conditionalFormatting>
  <conditionalFormatting sqref="E15">
    <cfRule type="expression" dxfId="8" priority="9">
      <formula>$E$4&gt;$C$4</formula>
    </cfRule>
  </conditionalFormatting>
  <conditionalFormatting sqref="E16">
    <cfRule type="expression" dxfId="7" priority="8">
      <formula>$E$5&gt;$C$5</formula>
    </cfRule>
  </conditionalFormatting>
  <conditionalFormatting sqref="E17">
    <cfRule type="expression" dxfId="6" priority="7">
      <formula>$E$6&gt;$C$6</formula>
    </cfRule>
  </conditionalFormatting>
  <conditionalFormatting sqref="K16">
    <cfRule type="expression" dxfId="5" priority="2">
      <formula>$E$5&gt;$C$5</formula>
    </cfRule>
  </conditionalFormatting>
  <conditionalFormatting sqref="K17">
    <cfRule type="expression" dxfId="4" priority="1">
      <formula>$E$6&gt;$C$6</formula>
    </cfRule>
  </conditionalFormatting>
  <conditionalFormatting sqref="K4">
    <cfRule type="expression" dxfId="3" priority="6">
      <formula>$E$4&gt;$C$4</formula>
    </cfRule>
  </conditionalFormatting>
  <conditionalFormatting sqref="K5">
    <cfRule type="expression" dxfId="2" priority="5">
      <formula>$E$5&gt;$C$5</formula>
    </cfRule>
  </conditionalFormatting>
  <conditionalFormatting sqref="K6">
    <cfRule type="expression" dxfId="1" priority="4">
      <formula>$E$6&gt;$C$6</formula>
    </cfRule>
  </conditionalFormatting>
  <conditionalFormatting sqref="K15">
    <cfRule type="expression" dxfId="0" priority="3">
      <formula>$E$4&gt;$C$4</formula>
    </cfRule>
  </conditionalFormatting>
  <dataValidations count="8">
    <dataValidation allowBlank="1" showInputMessage="1" showErrorMessage="1" error="Number of identified students cannot exceed total school enrollment." sqref="D6 D17 J6 J17" xr:uid="{78E9F211-7725-49C4-96F1-49149400A4AE}"/>
    <dataValidation type="whole" allowBlank="1" showInputMessage="1" showErrorMessage="1" error="Number of identified students cannot exceed total school enrollment." sqref="D5 D16 J5 J16" xr:uid="{F8D42E68-67BE-4F41-91EB-C6700432D6DE}">
      <formula1>0</formula1>
      <formula2>$B$4-($B$5+$B$8)</formula2>
    </dataValidation>
    <dataValidation type="whole" allowBlank="1" showInputMessage="1" showErrorMessage="1" error="Number of identified students cannot exceed total school enrollment." sqref="D4 D15 J4 J15" xr:uid="{78A34F2F-8EC6-4ABF-BC66-91EFA2A25505}">
      <formula1>0</formula1>
      <formula2>$B$4-SUM($B$6:$B$8)</formula2>
    </dataValidation>
    <dataValidation type="whole" allowBlank="1" showInputMessage="1" showErrorMessage="1" sqref="I4:I6 C15:C17 C4:C6 I15:I17" xr:uid="{8ED28498-0E01-4065-8239-921C48D3C65D}">
      <formula1>0</formula1>
      <formula2>1000000</formula2>
    </dataValidation>
    <dataValidation type="decimal" allowBlank="1" showInputMessage="1" showErrorMessage="1" error="ISP% MUST BE BETWEEN 0-100%" sqref="L3 F3 F14 L14" xr:uid="{314C2C85-A0F6-4C7C-8740-F1CA4215DCA8}">
      <formula1>0</formula1>
      <formula2>1</formula2>
    </dataValidation>
    <dataValidation type="whole" allowBlank="1" showInputMessage="1" showErrorMessage="1" error="NUMBER CANNOT EXCEED TOTAL FREE-MEAL ELIGIBLE STUDENTS IN DISTRICT" sqref="E4 E15 K4 K15" xr:uid="{971C3E65-91C3-4017-A4ED-84DDCD296D17}">
      <formula1>0</formula1>
      <formula2>C4</formula2>
    </dataValidation>
    <dataValidation type="whole" allowBlank="1" showInputMessage="1" showErrorMessage="1" error="NUMBER CANNOT EXCEED TOTAL REDUCED-ELIGIBLE STUDENTS IN DISTRICT" sqref="E5 E16 K5 K16" xr:uid="{3A5F45F4-1D86-469C-AB13-1F3DD03E055B}">
      <formula1>0</formula1>
      <formula2>C5</formula2>
    </dataValidation>
    <dataValidation type="whole" allowBlank="1" showInputMessage="1" showErrorMessage="1" error="NUMBER CANNOT EXCEED TOTAL PAID-ELIGIBLE STUDENTS IN DISTRICT" sqref="E6 E17 K6 K17" xr:uid="{369CCA30-3A51-47F6-B40D-B735D3027281}">
      <formula1>0</formula1>
      <formula2>C6</formula2>
    </dataValidation>
  </dataValidations>
  <hyperlinks>
    <hyperlink ref="N21" location="'DISTRICT ENROLLMENT'!A1" display="CLICK HERE TO ADVANCE TO THE NEXT PAGE" xr:uid="{B59F3307-8483-419E-A40C-2C1190BC5D41}"/>
    <hyperlink ref="N13" location="'REIMBURSEMENTS AND REVENUES'!C2" display="CLICK HERE TO ADVANCE TO THE NEXT PAGE" xr:uid="{F51BDB12-241F-4D8A-B27F-0A15A0741C95}"/>
    <hyperlink ref="N21:P21" location="'PARTICIPATION RATES'!D3" display="CLICK HERE TO ADVANCE TO THE NEXT PAGE" xr:uid="{1BE1583A-2771-4504-9C57-39BF39F65244}"/>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52D19-CCB5-4CB1-A9BC-C9A74CF068DC}">
  <dimension ref="B1:S22"/>
  <sheetViews>
    <sheetView zoomScale="80" zoomScaleNormal="80" workbookViewId="0">
      <pane xSplit="22" ySplit="25" topLeftCell="X26" activePane="bottomRight" state="frozen"/>
      <selection pane="topRight" activeCell="W1" sqref="W1"/>
      <selection pane="bottomLeft" activeCell="A26" sqref="A26"/>
      <selection pane="bottomRight" activeCell="O20" sqref="O20:Q20"/>
    </sheetView>
  </sheetViews>
  <sheetFormatPr baseColWidth="10" defaultColWidth="8.83203125" defaultRowHeight="26.5" customHeight="1" x14ac:dyDescent="0.2"/>
  <cols>
    <col min="1" max="1" width="1.5" style="25" customWidth="1"/>
    <col min="2" max="2" width="8.83203125" style="25"/>
    <col min="3" max="3" width="32.6640625" style="28" customWidth="1"/>
    <col min="4" max="4" width="10.83203125" style="28" customWidth="1"/>
    <col min="5" max="5" width="1.5" style="59" customWidth="1"/>
    <col min="6" max="7" width="10.83203125" style="28" customWidth="1"/>
    <col min="8" max="8" width="1.5" style="25" customWidth="1"/>
    <col min="9" max="9" width="34.6640625" style="25" bestFit="1" customWidth="1"/>
    <col min="10" max="10" width="10.83203125" style="25" customWidth="1"/>
    <col min="11" max="11" width="1.5" style="25" customWidth="1"/>
    <col min="12" max="13" width="10.83203125" style="25" customWidth="1"/>
    <col min="14" max="14" width="1.5" style="25" customWidth="1"/>
    <col min="15" max="15" width="35.5" style="72" customWidth="1"/>
    <col min="16" max="16" width="13.6640625" style="72" customWidth="1"/>
    <col min="17" max="17" width="1.5" style="72" customWidth="1"/>
    <col min="18" max="16384" width="8.83203125" style="25"/>
  </cols>
  <sheetData>
    <row r="1" spans="2:19" ht="35.25" customHeight="1" x14ac:dyDescent="0.2">
      <c r="B1" s="108" t="s">
        <v>40</v>
      </c>
      <c r="C1" s="25"/>
      <c r="D1" s="171" t="s">
        <v>98</v>
      </c>
      <c r="E1" s="103"/>
      <c r="F1" s="331" t="s">
        <v>99</v>
      </c>
      <c r="G1" s="332"/>
      <c r="I1" s="28"/>
      <c r="J1" s="171" t="s">
        <v>98</v>
      </c>
      <c r="K1" s="103"/>
      <c r="L1" s="331" t="s">
        <v>99</v>
      </c>
      <c r="M1" s="332"/>
      <c r="O1" s="28"/>
      <c r="P1" s="171" t="s">
        <v>98</v>
      </c>
      <c r="Q1" s="103"/>
      <c r="R1" s="331" t="s">
        <v>99</v>
      </c>
      <c r="S1" s="332"/>
    </row>
    <row r="2" spans="2:19" ht="26.25" customHeight="1" x14ac:dyDescent="0.2">
      <c r="C2" s="105" t="str">
        <f>ENROLLMENT!B2</f>
        <v>SCHOOL TYPE #1</v>
      </c>
      <c r="D2" s="95" t="s">
        <v>78</v>
      </c>
      <c r="E2" s="92"/>
      <c r="F2" s="95" t="s">
        <v>50</v>
      </c>
      <c r="G2" s="96" t="s">
        <v>47</v>
      </c>
      <c r="I2" s="105" t="str">
        <f>ENROLLMENT!H2</f>
        <v>SCHOOL TYPE #2</v>
      </c>
      <c r="J2" s="95" t="s">
        <v>78</v>
      </c>
      <c r="K2" s="92"/>
      <c r="L2" s="95" t="s">
        <v>50</v>
      </c>
      <c r="M2" s="96" t="s">
        <v>47</v>
      </c>
      <c r="O2" s="105" t="s">
        <v>76</v>
      </c>
      <c r="P2" s="106" t="s">
        <v>78</v>
      </c>
      <c r="Q2" s="92"/>
      <c r="R2" s="106" t="s">
        <v>50</v>
      </c>
      <c r="S2" s="107" t="s">
        <v>47</v>
      </c>
    </row>
    <row r="3" spans="2:19" ht="25.25" customHeight="1" x14ac:dyDescent="0.2">
      <c r="C3" s="110" t="s">
        <v>21</v>
      </c>
      <c r="D3" s="284">
        <v>1</v>
      </c>
      <c r="E3" s="85"/>
      <c r="F3" s="284">
        <v>1</v>
      </c>
      <c r="G3" s="309">
        <v>1</v>
      </c>
      <c r="I3" s="110" t="s">
        <v>21</v>
      </c>
      <c r="J3" s="284">
        <v>1</v>
      </c>
      <c r="K3" s="85"/>
      <c r="L3" s="284">
        <v>1</v>
      </c>
      <c r="M3" s="309">
        <v>1</v>
      </c>
      <c r="O3" s="110" t="s">
        <v>21</v>
      </c>
      <c r="P3" s="210">
        <f>IF(P4=0,0,P4/ENROLLMENT!O6)</f>
        <v>0</v>
      </c>
      <c r="Q3" s="121"/>
      <c r="R3" s="211">
        <f>IF(R4=0,0,R4/ENROLLMENT!Q6)</f>
        <v>0</v>
      </c>
      <c r="S3" s="212">
        <f>IF(S4=0,0,S4/ENROLLMENT!R6)</f>
        <v>0</v>
      </c>
    </row>
    <row r="4" spans="2:19" ht="25.25" customHeight="1" x14ac:dyDescent="0.2">
      <c r="C4" s="65" t="s">
        <v>67</v>
      </c>
      <c r="D4" s="55">
        <f>ROUND(ENROLLMENT!C7*'PARTICIPATION RATES'!$D$3,0)</f>
        <v>0</v>
      </c>
      <c r="E4" s="52"/>
      <c r="F4" s="57">
        <f>ROUND(ENROLLMENT!E7*'PARTICIPATION RATES'!$F$3,0)</f>
        <v>0</v>
      </c>
      <c r="G4" s="56">
        <f>ROUND(ENROLLMENT!F7*'PARTICIPATION RATES'!$G$3,0)</f>
        <v>0</v>
      </c>
      <c r="I4" s="65" t="s">
        <v>67</v>
      </c>
      <c r="J4" s="55">
        <f>ROUND(ENROLLMENT!I7*'PARTICIPATION RATES'!$J$3,0)</f>
        <v>0</v>
      </c>
      <c r="K4" s="57"/>
      <c r="L4" s="57">
        <f>ROUND(ENROLLMENT!K7*'PARTICIPATION RATES'!$L$3,0)</f>
        <v>0</v>
      </c>
      <c r="M4" s="56">
        <f>ROUND(ENROLLMENT!L7*'PARTICIPATION RATES'!$M$3,0)</f>
        <v>0</v>
      </c>
      <c r="O4" s="65" t="s">
        <v>67</v>
      </c>
      <c r="P4" s="55">
        <f>SUM(D4,J4,D14,J14)</f>
        <v>0</v>
      </c>
      <c r="Q4" s="52"/>
      <c r="R4" s="57">
        <f>SUM(F4,L4,F14,L14)</f>
        <v>0</v>
      </c>
      <c r="S4" s="56">
        <f>SUM(G4,M4,G14,M14)</f>
        <v>0</v>
      </c>
    </row>
    <row r="5" spans="2:19" ht="25.25" customHeight="1" x14ac:dyDescent="0.2">
      <c r="C5" s="65" t="s">
        <v>79</v>
      </c>
      <c r="D5" s="284">
        <v>1</v>
      </c>
      <c r="E5" s="85"/>
      <c r="F5" s="284">
        <v>1</v>
      </c>
      <c r="G5" s="309">
        <v>1</v>
      </c>
      <c r="I5" s="65" t="s">
        <v>79</v>
      </c>
      <c r="J5" s="284">
        <v>1</v>
      </c>
      <c r="K5" s="85"/>
      <c r="L5" s="284">
        <v>1</v>
      </c>
      <c r="M5" s="309">
        <f>L5</f>
        <v>1</v>
      </c>
      <c r="O5" s="65" t="s">
        <v>79</v>
      </c>
      <c r="P5" s="213">
        <f>IF(P$4=0,0,(ROUND(D$4*D5,0)+ROUND(J$4*J5,0)+ROUND(D$14*D15,0)+ROUND(J$14*J15,0))/P$4)</f>
        <v>0</v>
      </c>
      <c r="Q5" s="121"/>
      <c r="R5" s="214">
        <f t="shared" ref="R5:S9" si="0">IF(R$4=0,0,(ROUND(F$4*F5,0)+ROUND(L$4*L5,0)+ROUND(F$14*F15,0)+ROUND(L$14*L15,0))/R$4)</f>
        <v>0</v>
      </c>
      <c r="S5" s="215">
        <f t="shared" si="0"/>
        <v>0</v>
      </c>
    </row>
    <row r="6" spans="2:19" ht="25.25" customHeight="1" x14ac:dyDescent="0.2">
      <c r="C6" s="65" t="s">
        <v>80</v>
      </c>
      <c r="D6" s="284">
        <v>1</v>
      </c>
      <c r="E6" s="85"/>
      <c r="F6" s="284">
        <v>1</v>
      </c>
      <c r="G6" s="309">
        <v>1</v>
      </c>
      <c r="I6" s="65" t="s">
        <v>80</v>
      </c>
      <c r="J6" s="284">
        <v>1</v>
      </c>
      <c r="K6" s="85"/>
      <c r="L6" s="284">
        <v>1</v>
      </c>
      <c r="M6" s="309">
        <f>L6</f>
        <v>1</v>
      </c>
      <c r="O6" s="65" t="s">
        <v>80</v>
      </c>
      <c r="P6" s="213">
        <f>IF(P$4=0,0,(ROUND(D$4*D6,0)+ROUND(J$4*J6,0)+ROUND(D$14*D16,0)+ROUND(J$14*J16,0))/P$4)</f>
        <v>0</v>
      </c>
      <c r="Q6" s="121"/>
      <c r="R6" s="214">
        <f t="shared" si="0"/>
        <v>0</v>
      </c>
      <c r="S6" s="215">
        <f t="shared" si="0"/>
        <v>0</v>
      </c>
    </row>
    <row r="7" spans="2:19" ht="25.25" customHeight="1" x14ac:dyDescent="0.2">
      <c r="C7" s="65" t="s">
        <v>81</v>
      </c>
      <c r="D7" s="284">
        <v>1</v>
      </c>
      <c r="E7" s="85"/>
      <c r="F7" s="284">
        <v>1</v>
      </c>
      <c r="G7" s="309">
        <v>1</v>
      </c>
      <c r="I7" s="65" t="s">
        <v>81</v>
      </c>
      <c r="J7" s="284">
        <v>1</v>
      </c>
      <c r="K7" s="85"/>
      <c r="L7" s="284">
        <v>1</v>
      </c>
      <c r="M7" s="309">
        <f>L7</f>
        <v>1</v>
      </c>
      <c r="O7" s="65" t="s">
        <v>81</v>
      </c>
      <c r="P7" s="213">
        <f>IF(P$4=0,0,(ROUND(D$4*D7,0)+ROUND(J$4*J7,0)+ROUND(D$14*D17,0)+ROUND(J$14*J17,0))/P$4)</f>
        <v>0</v>
      </c>
      <c r="Q7" s="121"/>
      <c r="R7" s="214">
        <f t="shared" si="0"/>
        <v>0</v>
      </c>
      <c r="S7" s="215">
        <f t="shared" si="0"/>
        <v>0</v>
      </c>
    </row>
    <row r="8" spans="2:19" ht="25.25" customHeight="1" x14ac:dyDescent="0.2">
      <c r="C8" s="65" t="s">
        <v>82</v>
      </c>
      <c r="D8" s="284">
        <v>1</v>
      </c>
      <c r="E8" s="85"/>
      <c r="F8" s="284">
        <v>1</v>
      </c>
      <c r="G8" s="309">
        <v>1</v>
      </c>
      <c r="I8" s="65" t="s">
        <v>82</v>
      </c>
      <c r="J8" s="284">
        <v>1</v>
      </c>
      <c r="K8" s="85"/>
      <c r="L8" s="284">
        <v>1</v>
      </c>
      <c r="M8" s="309">
        <f>L8</f>
        <v>1</v>
      </c>
      <c r="O8" s="65" t="s">
        <v>82</v>
      </c>
      <c r="P8" s="213">
        <f>IF(P$4=0,0,(ROUND(D$4*D8,0)+ROUND(J$4*J8,0)+ROUND(D$14*D18,0)+ROUND(J$14*J18,0))/P$4)</f>
        <v>0</v>
      </c>
      <c r="Q8" s="121"/>
      <c r="R8" s="214">
        <f t="shared" si="0"/>
        <v>0</v>
      </c>
      <c r="S8" s="215">
        <f t="shared" si="0"/>
        <v>0</v>
      </c>
    </row>
    <row r="9" spans="2:19" ht="25.25" customHeight="1" x14ac:dyDescent="0.2">
      <c r="C9" s="66" t="s">
        <v>83</v>
      </c>
      <c r="D9" s="284">
        <v>1</v>
      </c>
      <c r="E9" s="85"/>
      <c r="F9" s="284">
        <v>1</v>
      </c>
      <c r="G9" s="309">
        <v>1</v>
      </c>
      <c r="I9" s="66" t="s">
        <v>83</v>
      </c>
      <c r="J9" s="284">
        <v>1</v>
      </c>
      <c r="K9" s="85"/>
      <c r="L9" s="284">
        <v>1</v>
      </c>
      <c r="M9" s="309">
        <f>L9</f>
        <v>1</v>
      </c>
      <c r="O9" s="66" t="s">
        <v>83</v>
      </c>
      <c r="P9" s="213">
        <f>IF(P$4=0,0,(ROUND(D$4*D9,0)+ROUND(J$4*J9,0)+ROUND(D$14*D19,0)+ROUND(J$14*J19,0))/P$4)</f>
        <v>0</v>
      </c>
      <c r="Q9" s="121"/>
      <c r="R9" s="214">
        <f t="shared" si="0"/>
        <v>0</v>
      </c>
      <c r="S9" s="215">
        <f t="shared" si="0"/>
        <v>0</v>
      </c>
    </row>
    <row r="10" spans="2:19" ht="25.25" customHeight="1" x14ac:dyDescent="0.2">
      <c r="C10" s="111" t="s">
        <v>37</v>
      </c>
      <c r="D10" s="115">
        <f>ROUND(D4*D5*(2/3),0)+ROUND(D4*D6*(1/3),0)+ROUND(D4*D7,0)+ROUND(D4*D8,0)+ROUND(('REIMBURSEMENTS AND REVENUES'!$H$9*D4*D9)/('REIMBURSEMENTS AND REVENUES'!$E$14+'FEDERAL RATES (HIDDEN)'!$C$20),0)</f>
        <v>0</v>
      </c>
      <c r="E10" s="112"/>
      <c r="F10" s="116">
        <f>ROUND(F4*F5*(2/3),0)+ROUND(F4*F6*(1/3),0)+ROUND(F4*F7,0)+ROUND(F4*F8,0)+ROUND(('REIMBURSEMENTS AND REVENUES'!$H$9*F4*F9)/('REIMBURSEMENTS AND REVENUES'!$E$14+'FEDERAL RATES (HIDDEN)'!$C$20),0)</f>
        <v>0</v>
      </c>
      <c r="G10" s="113">
        <f>ROUND(G4*G5*(2/3),0)+ROUND(G4*G6*(1/3),0)+ROUND(G4*G7,0)+ROUND(G4*G8,0)+ROUND(('REIMBURSEMENTS AND REVENUES'!$H$9*G4*G9)/('REIMBURSEMENTS AND REVENUES'!$E$14+'FEDERAL RATES (HIDDEN)'!$C$20),0)</f>
        <v>0</v>
      </c>
      <c r="I10" s="111" t="s">
        <v>37</v>
      </c>
      <c r="J10" s="115">
        <f>ROUND(J4*J5*(2/3),0)+ROUND(J4*J6*(1/3),0)+ROUND(J4*J7,0)+ROUND(J4*J8,0)+ROUND(('REIMBURSEMENTS AND REVENUES'!$H$9*J4*J9)/('REIMBURSEMENTS AND REVENUES'!$E$14+'FEDERAL RATES (HIDDEN)'!$C$20),0)</f>
        <v>0</v>
      </c>
      <c r="K10" s="112"/>
      <c r="L10" s="116">
        <f>ROUND(L4*L5*(2/3),0)+ROUND(L4*L6*(1/3),0)+ROUND(L4*L7,0)+ROUND(L4*L8,0)+ROUND(('REIMBURSEMENTS AND REVENUES'!$H$9*L4*L9)/('REIMBURSEMENTS AND REVENUES'!$E$14+'FEDERAL RATES (HIDDEN)'!$C$20),0)</f>
        <v>0</v>
      </c>
      <c r="M10" s="113">
        <f>ROUND(M4*M5*(2/3),0)+ROUND(M4*M6*(1/3),0)+ROUND(M4*M7,0)+ROUND(M4*M8,0)+ROUND(('REIMBURSEMENTS AND REVENUES'!$H$9*M4*M9)/('REIMBURSEMENTS AND REVENUES'!$E$14+'FEDERAL RATES (HIDDEN)'!$C$20),0)</f>
        <v>0</v>
      </c>
      <c r="O10" s="111" t="s">
        <v>37</v>
      </c>
      <c r="P10" s="117">
        <f>SUM(D10,J10,D20,J20)</f>
        <v>0</v>
      </c>
      <c r="Q10" s="118"/>
      <c r="R10" s="119">
        <f>SUM(F10,L10,F20,L20)</f>
        <v>0</v>
      </c>
      <c r="S10" s="120">
        <f>SUM(G10,M10,G20,M20)</f>
        <v>0</v>
      </c>
    </row>
    <row r="11" spans="2:19" ht="34" customHeight="1" x14ac:dyDescent="0.2">
      <c r="D11" s="171" t="s">
        <v>98</v>
      </c>
      <c r="E11" s="103"/>
      <c r="F11" s="331" t="s">
        <v>99</v>
      </c>
      <c r="G11" s="332"/>
      <c r="H11" s="104"/>
      <c r="I11" s="28"/>
      <c r="J11" s="238" t="s">
        <v>98</v>
      </c>
      <c r="K11" s="103"/>
      <c r="L11" s="331" t="s">
        <v>99</v>
      </c>
      <c r="M11" s="332"/>
    </row>
    <row r="12" spans="2:19" ht="25.25" customHeight="1" x14ac:dyDescent="0.2">
      <c r="C12" s="105" t="str">
        <f>ENROLLMENT!B13</f>
        <v>SCHOOL TYPE #3</v>
      </c>
      <c r="D12" s="95" t="s">
        <v>78</v>
      </c>
      <c r="E12" s="92"/>
      <c r="F12" s="95" t="s">
        <v>50</v>
      </c>
      <c r="G12" s="96" t="s">
        <v>47</v>
      </c>
      <c r="I12" s="105" t="str">
        <f>ENROLLMENT!H13</f>
        <v>SCHOOL TYPE #4</v>
      </c>
      <c r="J12" s="95" t="s">
        <v>78</v>
      </c>
      <c r="K12" s="92"/>
      <c r="L12" s="95" t="s">
        <v>50</v>
      </c>
      <c r="M12" s="96" t="s">
        <v>47</v>
      </c>
      <c r="O12" s="336" t="s">
        <v>77</v>
      </c>
      <c r="P12" s="336"/>
      <c r="Q12" s="336"/>
    </row>
    <row r="13" spans="2:19" ht="25.25" customHeight="1" x14ac:dyDescent="0.2">
      <c r="C13" s="110" t="s">
        <v>21</v>
      </c>
      <c r="D13" s="284">
        <v>1</v>
      </c>
      <c r="E13" s="85"/>
      <c r="F13" s="284">
        <v>1</v>
      </c>
      <c r="G13" s="309">
        <v>1</v>
      </c>
      <c r="I13" s="110" t="s">
        <v>21</v>
      </c>
      <c r="J13" s="284">
        <v>1</v>
      </c>
      <c r="K13" s="85"/>
      <c r="L13" s="284">
        <v>1</v>
      </c>
      <c r="M13" s="309">
        <v>1</v>
      </c>
    </row>
    <row r="14" spans="2:19" ht="25.25" customHeight="1" x14ac:dyDescent="0.2">
      <c r="C14" s="65" t="s">
        <v>67</v>
      </c>
      <c r="D14" s="55">
        <f>ROUND(ENROLLMENT!C18*'PARTICIPATION RATES'!$D$13,0)</f>
        <v>0</v>
      </c>
      <c r="E14" s="52"/>
      <c r="F14" s="57">
        <f>ROUND(ENROLLMENT!E18*'PARTICIPATION RATES'!$F$13,0)</f>
        <v>0</v>
      </c>
      <c r="G14" s="56">
        <f>ROUND(ENROLLMENT!F18*'PARTICIPATION RATES'!$G$13,0)</f>
        <v>0</v>
      </c>
      <c r="I14" s="65" t="s">
        <v>67</v>
      </c>
      <c r="J14" s="55">
        <f>ROUND(ENROLLMENT!I18*'PARTICIPATION RATES'!$J$13,0)</f>
        <v>0</v>
      </c>
      <c r="K14" s="52"/>
      <c r="L14" s="57">
        <f>ROUND(ENROLLMENT!K18*'PARTICIPATION RATES'!$L$13,0)</f>
        <v>0</v>
      </c>
      <c r="M14" s="56">
        <f>ROUND(ENROLLMENT!L18*'PARTICIPATION RATES'!$M$13,0)</f>
        <v>0</v>
      </c>
    </row>
    <row r="15" spans="2:19" ht="25.25" customHeight="1" x14ac:dyDescent="0.2">
      <c r="C15" s="65" t="s">
        <v>79</v>
      </c>
      <c r="D15" s="284">
        <v>1</v>
      </c>
      <c r="E15" s="85"/>
      <c r="F15" s="284">
        <v>1</v>
      </c>
      <c r="G15" s="309">
        <f>F15</f>
        <v>1</v>
      </c>
      <c r="I15" s="65" t="s">
        <v>79</v>
      </c>
      <c r="J15" s="284">
        <v>1</v>
      </c>
      <c r="K15" s="85"/>
      <c r="L15" s="284">
        <v>1</v>
      </c>
      <c r="M15" s="309">
        <f>L15</f>
        <v>1</v>
      </c>
    </row>
    <row r="16" spans="2:19" ht="25.25" customHeight="1" x14ac:dyDescent="0.2">
      <c r="C16" s="65" t="s">
        <v>80</v>
      </c>
      <c r="D16" s="284">
        <v>1</v>
      </c>
      <c r="E16" s="85"/>
      <c r="F16" s="284">
        <v>1</v>
      </c>
      <c r="G16" s="309">
        <f>F16</f>
        <v>1</v>
      </c>
      <c r="I16" s="65" t="s">
        <v>80</v>
      </c>
      <c r="J16" s="284">
        <v>1</v>
      </c>
      <c r="K16" s="85"/>
      <c r="L16" s="284">
        <v>1</v>
      </c>
      <c r="M16" s="309">
        <f>L16</f>
        <v>1</v>
      </c>
    </row>
    <row r="17" spans="3:17" ht="25.25" customHeight="1" x14ac:dyDescent="0.2">
      <c r="C17" s="65" t="s">
        <v>81</v>
      </c>
      <c r="D17" s="284">
        <v>1</v>
      </c>
      <c r="E17" s="85"/>
      <c r="F17" s="284">
        <v>1</v>
      </c>
      <c r="G17" s="309">
        <f>F17</f>
        <v>1</v>
      </c>
      <c r="I17" s="65" t="s">
        <v>81</v>
      </c>
      <c r="J17" s="284">
        <v>1</v>
      </c>
      <c r="K17" s="85"/>
      <c r="L17" s="284">
        <v>1</v>
      </c>
      <c r="M17" s="309">
        <f>L17</f>
        <v>1</v>
      </c>
    </row>
    <row r="18" spans="3:17" ht="25.25" customHeight="1" x14ac:dyDescent="0.2">
      <c r="C18" s="65" t="s">
        <v>82</v>
      </c>
      <c r="D18" s="284">
        <v>1</v>
      </c>
      <c r="E18" s="85"/>
      <c r="F18" s="284">
        <v>1</v>
      </c>
      <c r="G18" s="309">
        <f>F18</f>
        <v>1</v>
      </c>
      <c r="I18" s="65" t="s">
        <v>82</v>
      </c>
      <c r="J18" s="284">
        <v>1</v>
      </c>
      <c r="K18" s="85"/>
      <c r="L18" s="284">
        <v>1</v>
      </c>
      <c r="M18" s="309">
        <f>L18</f>
        <v>1</v>
      </c>
    </row>
    <row r="19" spans="3:17" ht="25.25" customHeight="1" x14ac:dyDescent="0.2">
      <c r="C19" s="66" t="s">
        <v>83</v>
      </c>
      <c r="D19" s="284">
        <v>1</v>
      </c>
      <c r="E19" s="85"/>
      <c r="F19" s="284">
        <v>1</v>
      </c>
      <c r="G19" s="309">
        <f>F19</f>
        <v>1</v>
      </c>
      <c r="I19" s="66" t="s">
        <v>83</v>
      </c>
      <c r="J19" s="284">
        <v>1</v>
      </c>
      <c r="K19" s="85"/>
      <c r="L19" s="284">
        <v>1</v>
      </c>
      <c r="M19" s="309">
        <f>L19</f>
        <v>1</v>
      </c>
    </row>
    <row r="20" spans="3:17" ht="25.25" customHeight="1" x14ac:dyDescent="0.2">
      <c r="C20" s="111" t="s">
        <v>37</v>
      </c>
      <c r="D20" s="115">
        <f>ROUND(D14*D15*(2/3),0)+ROUND(D14*D16*(1/3),0)+ROUND(D14*D17,0)+ROUND(D14*D18,0)+ROUND(('REIMBURSEMENTS AND REVENUES'!$H$9*D14*D19)/('REIMBURSEMENTS AND REVENUES'!$E$14+'FEDERAL RATES (HIDDEN)'!$C$20),0)</f>
        <v>0</v>
      </c>
      <c r="E20" s="112"/>
      <c r="F20" s="116">
        <f>ROUND(F14*F15*(2/3),0)+ROUND(F14*F16*(1/3),0)+ROUND(F14*F17,0)+ROUND(F14*F18,0)+ROUND(('REIMBURSEMENTS AND REVENUES'!$H$9*F14*F19)/('REIMBURSEMENTS AND REVENUES'!$E$14+'FEDERAL RATES (HIDDEN)'!$C$20),0)</f>
        <v>0</v>
      </c>
      <c r="G20" s="113">
        <f>ROUND(G14*G15*(2/3),0)+ROUND(G14*G16*(1/3),0)+ROUND(G14*G17,0)+ROUND(G14*G18,0)+ROUND(('REIMBURSEMENTS AND REVENUES'!$H$9*G14*G19)/('REIMBURSEMENTS AND REVENUES'!$E$14+'FEDERAL RATES (HIDDEN)'!$C$20),0)</f>
        <v>0</v>
      </c>
      <c r="I20" s="111" t="s">
        <v>37</v>
      </c>
      <c r="J20" s="115">
        <f>ROUND(J14*J15*(2/3),0)+ROUND(J14*J16*(1/3),0)+ROUND(J14*J17,0)+ROUND(J14*J18,0)+ROUND(('REIMBURSEMENTS AND REVENUES'!$H$9*J14*J19)/('REIMBURSEMENTS AND REVENUES'!$E$14+'FEDERAL RATES (HIDDEN)'!$C$20),0)</f>
        <v>0</v>
      </c>
      <c r="K20" s="112"/>
      <c r="L20" s="116">
        <f>ROUND(L14*L15*(2/3),0)+ROUND(L14*L16*(1/3),0)+ROUND(L14*L17,0)+ROUND(L14*L18,0)+ROUND(('REIMBURSEMENTS AND REVENUES'!$H$9*L14*L19)/('REIMBURSEMENTS AND REVENUES'!$E$14+'FEDERAL RATES (HIDDEN)'!$C$20),0)</f>
        <v>0</v>
      </c>
      <c r="M20" s="113">
        <f>ROUND(M14*M15*(2/3),0)+ROUND(M14*M16*(1/3),0)+ROUND(M14*M17,0)+ROUND(M14*M18,0)+ROUND(('REIMBURSEMENTS AND REVENUES'!$H$9*M14*M19)/('REIMBURSEMENTS AND REVENUES'!$E$14+'FEDERAL RATES (HIDDEN)'!$C$20),0)</f>
        <v>0</v>
      </c>
      <c r="O20" s="335" t="s">
        <v>68</v>
      </c>
      <c r="P20" s="335"/>
      <c r="Q20" s="335"/>
    </row>
    <row r="21" spans="3:17" ht="7.75" customHeight="1" x14ac:dyDescent="0.2">
      <c r="F21" s="60"/>
      <c r="G21" s="60"/>
    </row>
    <row r="22" spans="3:17" s="73" customFormat="1" ht="26.5" customHeight="1" x14ac:dyDescent="0.2">
      <c r="F22" s="63"/>
      <c r="G22" s="63"/>
      <c r="O22" s="90"/>
      <c r="P22" s="90"/>
    </row>
  </sheetData>
  <sheetProtection sheet="1" selectLockedCells="1"/>
  <mergeCells count="7">
    <mergeCell ref="R1:S1"/>
    <mergeCell ref="O20:Q20"/>
    <mergeCell ref="L11:M11"/>
    <mergeCell ref="F1:G1"/>
    <mergeCell ref="F11:G11"/>
    <mergeCell ref="O12:Q12"/>
    <mergeCell ref="L1:M1"/>
  </mergeCells>
  <dataValidations count="2">
    <dataValidation type="decimal" allowBlank="1" showInputMessage="1" showErrorMessage="1" error="ADA MUST BE BETWEEN 0-100%" sqref="D3 F3:G3 J3 L3:M3 J13 L13:M13 F13:G13 D13" xr:uid="{64E40C38-232D-479B-AD0A-35D585FF52F1}">
      <formula1>0</formula1>
      <formula2>1</formula2>
    </dataValidation>
    <dataValidation type="decimal" allowBlank="1" showInputMessage="1" showErrorMessage="1" error="PARITICIPATION RATE MUST BE BETWEEN 0-100%" sqref="D5:D9 F5:G9 J5:J9 L5:M9 J15:J19 L15:M19 F15:G19 D15:D19" xr:uid="{2563FE82-5A6C-4E78-89D1-53BC31605537}">
      <formula1>0</formula1>
      <formula2>1</formula2>
    </dataValidation>
  </dataValidations>
  <hyperlinks>
    <hyperlink ref="O20" location="'DISTRICT ENROLLMENT'!A1" display="CLICK HERE TO ADVANCE TO THE NEXT PAGE" xr:uid="{F0F43440-9B20-4D1D-9EF4-2ACD8A719A74}"/>
    <hyperlink ref="O12" location="'REIMBURSEMENTS AND REVENUES'!C2" display="CLICK HERE TO ADVANCE TO THE NEXT PAGE" xr:uid="{839D9375-C221-41CE-B22F-D6D2369815C0}"/>
    <hyperlink ref="O20:Q20" location="'FOOD &amp; MATERIALS EXPENSE'!C4" display="CLICK HERE TO ADVANCE TO THE NEXT PAGE" xr:uid="{0C147772-B239-4985-BB5C-E3D73E4D54E6}"/>
    <hyperlink ref="O12:Q12" location="ENROLLMENT!B2" display="CLICK HERE TO RETURN TO THE PREVIOUS PAGE" xr:uid="{3797A0F7-89AD-476C-A184-B5CAB23A1454}"/>
  </hyperlinks>
  <pageMargins left="0.7" right="0.7" top="0.75" bottom="0.75" header="0.3" footer="0.3"/>
  <pageSetup scale="36" orientation="portrait" r:id="rId1"/>
  <colBreaks count="1" manualBreakCount="1">
    <brk id="22" max="21" man="1"/>
  </col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E4DCA-5A67-4E39-8F4C-BAF60E0DD296}">
  <dimension ref="B1:Q19"/>
  <sheetViews>
    <sheetView zoomScale="80" zoomScaleNormal="80" workbookViewId="0">
      <selection activeCell="G19" sqref="G19:J19"/>
    </sheetView>
  </sheetViews>
  <sheetFormatPr baseColWidth="10" defaultColWidth="8.83203125" defaultRowHeight="26.5" customHeight="1" x14ac:dyDescent="0.2"/>
  <cols>
    <col min="1" max="1" width="1.5" style="17" customWidth="1"/>
    <col min="2" max="2" width="35.83203125" style="28" customWidth="1"/>
    <col min="3" max="3" width="13.5" style="28" customWidth="1"/>
    <col min="4" max="4" width="1.5" style="28" customWidth="1"/>
    <col min="5" max="5" width="13.5" style="16" customWidth="1"/>
    <col min="6" max="6" width="2.5" style="17" customWidth="1"/>
    <col min="7" max="7" width="35.83203125" style="17" customWidth="1"/>
    <col min="8" max="8" width="14.1640625" style="17" customWidth="1"/>
    <col min="9" max="9" width="1.5" style="17" customWidth="1"/>
    <col min="10" max="11" width="15.5" style="17" customWidth="1"/>
    <col min="12" max="12" width="8.83203125" style="17"/>
    <col min="13" max="13" width="35.1640625" style="17" customWidth="1"/>
    <col min="14" max="16" width="8.83203125" style="17"/>
    <col min="17" max="17" width="13.6640625" style="72" customWidth="1"/>
    <col min="18" max="16384" width="8.83203125" style="17"/>
  </cols>
  <sheetData>
    <row r="1" spans="2:17" ht="26.5" customHeight="1" x14ac:dyDescent="0.2">
      <c r="B1" s="108" t="s">
        <v>103</v>
      </c>
    </row>
    <row r="2" spans="2:17" ht="26.5" customHeight="1" x14ac:dyDescent="0.2">
      <c r="B2" s="108"/>
      <c r="H2" s="171" t="s">
        <v>98</v>
      </c>
      <c r="J2" s="331" t="s">
        <v>99</v>
      </c>
      <c r="K2" s="332"/>
    </row>
    <row r="3" spans="2:17" ht="26.5" customHeight="1" x14ac:dyDescent="0.2">
      <c r="B3" s="172" t="s">
        <v>104</v>
      </c>
      <c r="C3" s="173" t="s">
        <v>98</v>
      </c>
      <c r="D3" s="174"/>
      <c r="E3" s="173" t="s">
        <v>99</v>
      </c>
      <c r="G3" s="176" t="s">
        <v>148</v>
      </c>
      <c r="H3" s="183" t="s">
        <v>78</v>
      </c>
      <c r="I3" s="174"/>
      <c r="J3" s="114" t="s">
        <v>50</v>
      </c>
      <c r="K3" s="96" t="s">
        <v>47</v>
      </c>
      <c r="M3" s="23"/>
    </row>
    <row r="4" spans="2:17" s="23" customFormat="1" ht="26.5" customHeight="1" x14ac:dyDescent="0.2">
      <c r="B4" s="65" t="s">
        <v>4</v>
      </c>
      <c r="C4" s="78">
        <v>0</v>
      </c>
      <c r="D4" s="83"/>
      <c r="E4" s="78">
        <v>0</v>
      </c>
      <c r="G4" s="177" t="s">
        <v>4</v>
      </c>
      <c r="H4" s="216">
        <f>SUM(ROUND('PARTICIPATION RATES'!$D$4*'PARTICIPATION RATES'!$D$5,0),ROUND('PARTICIPATION RATES'!$J$4*'PARTICIPATION RATES'!$J5,0),ROUND('PARTICIPATION RATES'!$D$14*'PARTICIPATION RATES'!$D15,0),ROUND('PARTICIPATION RATES'!$J$14*'PARTICIPATION RATES'!$J15,0))*('FOOD &amp; MATERIALS EXPENSE'!$C$4+'FOOD &amp; MATERIALS EXPENSE'!$C$13)*'REIMBURSEMENTS AND REVENUES'!$C$19</f>
        <v>0</v>
      </c>
      <c r="I4" s="54"/>
      <c r="J4" s="217">
        <f>SUM(ROUND('PARTICIPATION RATES'!$F$4*'PARTICIPATION RATES'!$F$5,0),ROUND('PARTICIPATION RATES'!$L$4*'PARTICIPATION RATES'!$L5,0),ROUND('PARTICIPATION RATES'!$F$14*'PARTICIPATION RATES'!$F15,0),ROUND('PARTICIPATION RATES'!$L$14*'PARTICIPATION RATES'!$L15,0))*('FOOD &amp; MATERIALS EXPENSE'!$E$4+'FOOD &amp; MATERIALS EXPENSE'!$E$13)*'REIMBURSEMENTS AND REVENUES'!$C$19</f>
        <v>0</v>
      </c>
      <c r="K4" s="218">
        <f>SUM(ROUND('PARTICIPATION RATES'!$G$4*'PARTICIPATION RATES'!$G$5,0),ROUND('PARTICIPATION RATES'!$M$4*'PARTICIPATION RATES'!$M5,0),ROUND('PARTICIPATION RATES'!$G$14*'PARTICIPATION RATES'!$G15,0),ROUND('PARTICIPATION RATES'!$M$14*'PARTICIPATION RATES'!$M15,0))*('FOOD &amp; MATERIALS EXPENSE'!$E$4+'FOOD &amp; MATERIALS EXPENSE'!$E$13)*'REIMBURSEMENTS AND REVENUES'!$C$19</f>
        <v>0</v>
      </c>
      <c r="Q4" s="72"/>
    </row>
    <row r="5" spans="2:17" s="23" customFormat="1" ht="26.5" customHeight="1" x14ac:dyDescent="0.2">
      <c r="B5" s="65" t="s">
        <v>60</v>
      </c>
      <c r="C5" s="78">
        <v>0</v>
      </c>
      <c r="D5" s="83"/>
      <c r="E5" s="78">
        <f>C5</f>
        <v>0</v>
      </c>
      <c r="G5" s="177" t="s">
        <v>60</v>
      </c>
      <c r="H5" s="216">
        <f>SUM(ROUND('PARTICIPATION RATES'!D$4*'PARTICIPATION RATES'!D6,0),ROUND('PARTICIPATION RATES'!J$4*'PARTICIPATION RATES'!J6,0),ROUND('PARTICIPATION RATES'!D$14*'PARTICIPATION RATES'!D16,0),ROUND('PARTICIPATION RATES'!J$14*'PARTICIPATION RATES'!J16,0))*('FOOD &amp; MATERIALS EXPENSE'!C5+'FOOD &amp; MATERIALS EXPENSE'!C14)*'REIMBURSEMENTS AND REVENUES'!$C$19</f>
        <v>0</v>
      </c>
      <c r="I5" s="219"/>
      <c r="J5" s="217">
        <f>SUM(ROUND('PARTICIPATION RATES'!F$4*'PARTICIPATION RATES'!F6,0),ROUND('PARTICIPATION RATES'!L$4*'PARTICIPATION RATES'!L6,0),ROUND('PARTICIPATION RATES'!F$14*'PARTICIPATION RATES'!F16,0),ROUND('PARTICIPATION RATES'!L$14*'PARTICIPATION RATES'!L16,0))*('FOOD &amp; MATERIALS EXPENSE'!E5+'FOOD &amp; MATERIALS EXPENSE'!E14)*'REIMBURSEMENTS AND REVENUES'!$C$19</f>
        <v>0</v>
      </c>
      <c r="K5" s="218">
        <f>SUM(ROUND('PARTICIPATION RATES'!G$4*'PARTICIPATION RATES'!G6,0),ROUND('PARTICIPATION RATES'!M$4*'PARTICIPATION RATES'!M6,0),ROUND('PARTICIPATION RATES'!G$14*'PARTICIPATION RATES'!G16,0),ROUND('PARTICIPATION RATES'!M$14*'PARTICIPATION RATES'!M16,0))*('FOOD &amp; MATERIALS EXPENSE'!E5+'FOOD &amp; MATERIALS EXPENSE'!E14)*'REIMBURSEMENTS AND REVENUES'!$C$19</f>
        <v>0</v>
      </c>
      <c r="Q5" s="25"/>
    </row>
    <row r="6" spans="2:17" ht="26.5" customHeight="1" x14ac:dyDescent="0.2">
      <c r="B6" s="65" t="s">
        <v>5</v>
      </c>
      <c r="C6" s="78">
        <v>0</v>
      </c>
      <c r="D6" s="83"/>
      <c r="E6" s="78">
        <f t="shared" ref="E6" si="0">C6</f>
        <v>0</v>
      </c>
      <c r="G6" s="177" t="s">
        <v>5</v>
      </c>
      <c r="H6" s="216">
        <f>SUM(ROUND('PARTICIPATION RATES'!D$4*'PARTICIPATION RATES'!D7,0),ROUND('PARTICIPATION RATES'!J$4*'PARTICIPATION RATES'!J7,0),ROUND('PARTICIPATION RATES'!D$14*'PARTICIPATION RATES'!D17,0),ROUND('PARTICIPATION RATES'!J$14*'PARTICIPATION RATES'!J17,0))*('FOOD &amp; MATERIALS EXPENSE'!C6+'FOOD &amp; MATERIALS EXPENSE'!C15)*'REIMBURSEMENTS AND REVENUES'!$C$19</f>
        <v>0</v>
      </c>
      <c r="I6" s="219"/>
      <c r="J6" s="217">
        <f>SUM(ROUND('PARTICIPATION RATES'!F$4*'PARTICIPATION RATES'!F7,0),ROUND('PARTICIPATION RATES'!L$4*'PARTICIPATION RATES'!L7,0),ROUND('PARTICIPATION RATES'!F$14*'PARTICIPATION RATES'!F17,0),ROUND('PARTICIPATION RATES'!L$14*'PARTICIPATION RATES'!L17,0))*('FOOD &amp; MATERIALS EXPENSE'!E6+'FOOD &amp; MATERIALS EXPENSE'!E15)*'REIMBURSEMENTS AND REVENUES'!$C$19</f>
        <v>0</v>
      </c>
      <c r="K6" s="218">
        <f>SUM(ROUND('PARTICIPATION RATES'!G$4*'PARTICIPATION RATES'!G7,0),ROUND('PARTICIPATION RATES'!M$4*'PARTICIPATION RATES'!M7,0),ROUND('PARTICIPATION RATES'!G$14*'PARTICIPATION RATES'!G17,0),ROUND('PARTICIPATION RATES'!M$14*'PARTICIPATION RATES'!M17,0))*('FOOD &amp; MATERIALS EXPENSE'!E6+'FOOD &amp; MATERIALS EXPENSE'!E15)*'REIMBURSEMENTS AND REVENUES'!$C$19</f>
        <v>0</v>
      </c>
    </row>
    <row r="7" spans="2:17" ht="26.5" customHeight="1" x14ac:dyDescent="0.2">
      <c r="B7" s="65" t="s">
        <v>62</v>
      </c>
      <c r="C7" s="78">
        <v>0</v>
      </c>
      <c r="D7" s="83"/>
      <c r="E7" s="78">
        <f>C7</f>
        <v>0</v>
      </c>
      <c r="G7" s="177" t="s">
        <v>62</v>
      </c>
      <c r="H7" s="216">
        <f>SUM(ROUND('PARTICIPATION RATES'!D$4*'PARTICIPATION RATES'!D8,0),ROUND('PARTICIPATION RATES'!J$4*'PARTICIPATION RATES'!J8,0),ROUND('PARTICIPATION RATES'!D$14*'PARTICIPATION RATES'!D18,0),ROUND('PARTICIPATION RATES'!J$14*'PARTICIPATION RATES'!J18,0))*('FOOD &amp; MATERIALS EXPENSE'!C7+'FOOD &amp; MATERIALS EXPENSE'!C16)*'REIMBURSEMENTS AND REVENUES'!$C$19</f>
        <v>0</v>
      </c>
      <c r="I7" s="219"/>
      <c r="J7" s="217">
        <f>SUM(ROUND('PARTICIPATION RATES'!F$4*'PARTICIPATION RATES'!F8,0),ROUND('PARTICIPATION RATES'!L$4*'PARTICIPATION RATES'!L8,0),ROUND('PARTICIPATION RATES'!F$14*'PARTICIPATION RATES'!F18,0),ROUND('PARTICIPATION RATES'!L$14*'PARTICIPATION RATES'!L18,0))*('FOOD &amp; MATERIALS EXPENSE'!E7+'FOOD &amp; MATERIALS EXPENSE'!E16)*'REIMBURSEMENTS AND REVENUES'!$C$19</f>
        <v>0</v>
      </c>
      <c r="K7" s="218">
        <f>SUM(ROUND('PARTICIPATION RATES'!G$4*'PARTICIPATION RATES'!G8,0),ROUND('PARTICIPATION RATES'!M$4*'PARTICIPATION RATES'!M8,0),ROUND('PARTICIPATION RATES'!G$14*'PARTICIPATION RATES'!G18,0),ROUND('PARTICIPATION RATES'!M$14*'PARTICIPATION RATES'!M18,0))*('FOOD &amp; MATERIALS EXPENSE'!E7+'FOOD &amp; MATERIALS EXPENSE'!E16)*'REIMBURSEMENTS AND REVENUES'!$C$19</f>
        <v>0</v>
      </c>
      <c r="Q7" s="17"/>
    </row>
    <row r="8" spans="2:17" ht="26.5" customHeight="1" x14ac:dyDescent="0.2">
      <c r="B8" s="133" t="s">
        <v>105</v>
      </c>
      <c r="C8" s="78">
        <v>0</v>
      </c>
      <c r="D8" s="220"/>
      <c r="E8" s="78">
        <v>0</v>
      </c>
      <c r="G8" s="177" t="s">
        <v>105</v>
      </c>
      <c r="H8" s="216">
        <f>SUM(ROUND('PARTICIPATION RATES'!D$4*'PARTICIPATION RATES'!D9,0),ROUND('PARTICIPATION RATES'!J$4*'PARTICIPATION RATES'!J9,0),ROUND('PARTICIPATION RATES'!D$14*'PARTICIPATION RATES'!D19,0),ROUND('PARTICIPATION RATES'!J$14*'PARTICIPATION RATES'!J19,0))*('FOOD &amp; MATERIALS EXPENSE'!C8+'FOOD &amp; MATERIALS EXPENSE'!C17)*'REIMBURSEMENTS AND REVENUES'!$C$19</f>
        <v>0</v>
      </c>
      <c r="I8" s="219"/>
      <c r="J8" s="217">
        <f>SUM(ROUND('PARTICIPATION RATES'!F$4*'PARTICIPATION RATES'!F9,0),ROUND('PARTICIPATION RATES'!L$4*'PARTICIPATION RATES'!L9,0),ROUND('PARTICIPATION RATES'!F$14*'PARTICIPATION RATES'!F19,0),ROUND('PARTICIPATION RATES'!L$14*'PARTICIPATION RATES'!L19,0))*('FOOD &amp; MATERIALS EXPENSE'!E8+'FOOD &amp; MATERIALS EXPENSE'!E17)*'REIMBURSEMENTS AND REVENUES'!$C$19</f>
        <v>0</v>
      </c>
      <c r="K8" s="218">
        <f>SUM(ROUND('PARTICIPATION RATES'!G$4*'PARTICIPATION RATES'!G9,0),ROUND('PARTICIPATION RATES'!M$4*'PARTICIPATION RATES'!M9,0),ROUND('PARTICIPATION RATES'!G$14*'PARTICIPATION RATES'!G19,0),ROUND('PARTICIPATION RATES'!M$14*'PARTICIPATION RATES'!M19,0))*('FOOD &amp; MATERIALS EXPENSE'!E8+'FOOD &amp; MATERIALS EXPENSE'!E17)*'REIMBURSEMENTS AND REVENUES'!$C$19</f>
        <v>0</v>
      </c>
      <c r="Q8" s="17"/>
    </row>
    <row r="9" spans="2:17" ht="26.5" customHeight="1" x14ac:dyDescent="0.2">
      <c r="G9" s="178" t="s">
        <v>107</v>
      </c>
      <c r="H9" s="180">
        <f>SUM('FOOD &amp; MATERIALS EXPENSE'!H5:H8)</f>
        <v>0</v>
      </c>
      <c r="I9" s="184"/>
      <c r="J9" s="181">
        <f>SUM('FOOD &amp; MATERIALS EXPENSE'!J5:J8)</f>
        <v>0</v>
      </c>
      <c r="K9" s="182">
        <f>SUM('FOOD &amp; MATERIALS EXPENSE'!K5:K8)</f>
        <v>0</v>
      </c>
      <c r="Q9" s="17"/>
    </row>
    <row r="10" spans="2:17" ht="26.5" customHeight="1" x14ac:dyDescent="0.2">
      <c r="Q10" s="17"/>
    </row>
    <row r="11" spans="2:17" ht="26.5" customHeight="1" x14ac:dyDescent="0.2">
      <c r="G11" s="175"/>
      <c r="J11" s="331" t="s">
        <v>99</v>
      </c>
      <c r="K11" s="332"/>
      <c r="Q11" s="17"/>
    </row>
    <row r="12" spans="2:17" ht="26.5" customHeight="1" x14ac:dyDescent="0.2">
      <c r="B12" s="172" t="s">
        <v>106</v>
      </c>
      <c r="C12" s="173" t="s">
        <v>98</v>
      </c>
      <c r="D12" s="174"/>
      <c r="E12" s="173" t="s">
        <v>99</v>
      </c>
      <c r="G12" s="176" t="s">
        <v>108</v>
      </c>
      <c r="H12" s="183" t="s">
        <v>78</v>
      </c>
      <c r="I12" s="174"/>
      <c r="J12" s="95" t="s">
        <v>50</v>
      </c>
      <c r="K12" s="95" t="s">
        <v>47</v>
      </c>
      <c r="Q12" s="17"/>
    </row>
    <row r="13" spans="2:17" ht="26.5" customHeight="1" x14ac:dyDescent="0.2">
      <c r="B13" s="65" t="s">
        <v>4</v>
      </c>
      <c r="C13" s="78">
        <v>0</v>
      </c>
      <c r="D13" s="83"/>
      <c r="E13" s="78">
        <f>C13</f>
        <v>0</v>
      </c>
      <c r="G13" s="177" t="str">
        <f>ENROLLMENT!B2</f>
        <v>SCHOOL TYPE #1</v>
      </c>
      <c r="H13" s="216">
        <f>((ROUND('PARTICIPATION RATES'!D$4*'PARTICIPATION RATES'!D$5,0)*(C$4+C$13))+(ROUND('PARTICIPATION RATES'!D$4*'PARTICIPATION RATES'!D$6,0)*(C$5+C$14))+(ROUND('PARTICIPATION RATES'!D$4*'PARTICIPATION RATES'!D$7,0)*(C$6+C$15))+(ROUND('PARTICIPATION RATES'!D$4*'PARTICIPATION RATES'!D$8,0)*(C$7+C$16))+(ROUND('PARTICIPATION RATES'!D$4*'PARTICIPATION RATES'!D$9,0)*(C$8+C$17)))*'REIMBURSEMENTS AND REVENUES'!$C$19</f>
        <v>0</v>
      </c>
      <c r="I13" s="54"/>
      <c r="J13" s="216">
        <f>((ROUND('PARTICIPATION RATES'!F$4*'PARTICIPATION RATES'!F$5,0)*(E$4+E$13))+(ROUND('PARTICIPATION RATES'!F$4*'PARTICIPATION RATES'!F$6,0)*(E$5+E$14))+(ROUND('PARTICIPATION RATES'!F$4*'PARTICIPATION RATES'!F$7,0)*(E$6+E$15))+(ROUND('PARTICIPATION RATES'!F$4*'PARTICIPATION RATES'!F$8,0)*(E$7+E$16))+(ROUND('PARTICIPATION RATES'!F$4*'PARTICIPATION RATES'!F$9,0)*(E$8+E$17)))*'REIMBURSEMENTS AND REVENUES'!$C$19</f>
        <v>0</v>
      </c>
      <c r="K13" s="216">
        <f>((ROUND('PARTICIPATION RATES'!G$4*'PARTICIPATION RATES'!G$5,0)*(E$4+E$13))+(ROUND('PARTICIPATION RATES'!G$4*'PARTICIPATION RATES'!G$6,0)*(E$5+E$14))+(ROUND('PARTICIPATION RATES'!G$4*'PARTICIPATION RATES'!G$7,0)*(E$6+E$15))+(ROUND('PARTICIPATION RATES'!G$4*'PARTICIPATION RATES'!G$8,0)*(E$7+E$16))+(ROUND('PARTICIPATION RATES'!G$4*'PARTICIPATION RATES'!G$9,0)*(E$8+E$17)))*'REIMBURSEMENTS AND REVENUES'!$C$19</f>
        <v>0</v>
      </c>
      <c r="Q13" s="17"/>
    </row>
    <row r="14" spans="2:17" ht="26.5" customHeight="1" x14ac:dyDescent="0.2">
      <c r="B14" s="65" t="s">
        <v>60</v>
      </c>
      <c r="C14" s="78">
        <v>0</v>
      </c>
      <c r="D14" s="83"/>
      <c r="E14" s="78">
        <f>C14</f>
        <v>0</v>
      </c>
      <c r="G14" s="177" t="str">
        <f>ENROLLMENT!H2</f>
        <v>SCHOOL TYPE #2</v>
      </c>
      <c r="H14" s="216">
        <f>((ROUND('PARTICIPATION RATES'!J$4*'PARTICIPATION RATES'!J$5,0)*(C$4+C$13))+(ROUND('PARTICIPATION RATES'!J$4*'PARTICIPATION RATES'!J$6,0)*(C$5+C$14))+(ROUND('PARTICIPATION RATES'!J$4*'PARTICIPATION RATES'!J$7,0)*(C$6+C$15))+(ROUND('PARTICIPATION RATES'!J$4*'PARTICIPATION RATES'!J$8,0)*(C$7+C$16))+(ROUND('PARTICIPATION RATES'!J$4*'PARTICIPATION RATES'!J$9,0)*(C$8+C$17)))*'REIMBURSEMENTS AND REVENUES'!$C$19</f>
        <v>0</v>
      </c>
      <c r="I14" s="54"/>
      <c r="J14" s="216">
        <f>((ROUND('PARTICIPATION RATES'!L$4*'PARTICIPATION RATES'!L$5,0)*(E$4+E$13))+(ROUND('PARTICIPATION RATES'!L$4*'PARTICIPATION RATES'!L$6,0)*(E$5+E$14))+(ROUND('PARTICIPATION RATES'!L$4*'PARTICIPATION RATES'!L$7,0)*(E$6+E$15))+(ROUND('PARTICIPATION RATES'!L$4*'PARTICIPATION RATES'!L$8,0)*(E$7+E$16))+(ROUND('PARTICIPATION RATES'!L$4*'PARTICIPATION RATES'!L$9,0)*(E$8+E$17)))*'REIMBURSEMENTS AND REVENUES'!$C$19</f>
        <v>0</v>
      </c>
      <c r="K14" s="216">
        <f>((ROUND('PARTICIPATION RATES'!M$4*'PARTICIPATION RATES'!M$5,0)*(E$4+E$13))+(ROUND('PARTICIPATION RATES'!M$4*'PARTICIPATION RATES'!M$6,0)*(E$5+E$14))+(ROUND('PARTICIPATION RATES'!M$4*'PARTICIPATION RATES'!M$7,0)*(E$6+E$15))+(ROUND('PARTICIPATION RATES'!M$4*'PARTICIPATION RATES'!M$8,0)*(E$7+E$16))+(ROUND('PARTICIPATION RATES'!M$4*'PARTICIPATION RATES'!M$9,0)*(E$8+E$17)))*'REIMBURSEMENTS AND REVENUES'!$C$19</f>
        <v>0</v>
      </c>
      <c r="Q14" s="17"/>
    </row>
    <row r="15" spans="2:17" ht="26.5" customHeight="1" x14ac:dyDescent="0.2">
      <c r="B15" s="65" t="s">
        <v>5</v>
      </c>
      <c r="C15" s="78">
        <v>0</v>
      </c>
      <c r="D15" s="83"/>
      <c r="E15" s="78">
        <f t="shared" ref="E15" si="1">C15</f>
        <v>0</v>
      </c>
      <c r="G15" s="177" t="str">
        <f>ENROLLMENT!B13</f>
        <v>SCHOOL TYPE #3</v>
      </c>
      <c r="H15" s="216">
        <f>((ROUND('PARTICIPATION RATES'!D$14*'PARTICIPATION RATES'!D$15,0)*('FOOD &amp; MATERIALS EXPENSE'!C$4+'FOOD &amp; MATERIALS EXPENSE'!C$13))+(ROUND('PARTICIPATION RATES'!D$14*'PARTICIPATION RATES'!D$16,0)*('FOOD &amp; MATERIALS EXPENSE'!C$5+'FOOD &amp; MATERIALS EXPENSE'!C$14))+(ROUND('PARTICIPATION RATES'!D$14*'PARTICIPATION RATES'!D$17,0)*('FOOD &amp; MATERIALS EXPENSE'!C$6+'FOOD &amp; MATERIALS EXPENSE'!C$15))+(ROUND('PARTICIPATION RATES'!D$14*'PARTICIPATION RATES'!D$18,0)*('FOOD &amp; MATERIALS EXPENSE'!C$7+'FOOD &amp; MATERIALS EXPENSE'!C$16))+(ROUND('PARTICIPATION RATES'!D$14*'PARTICIPATION RATES'!D$19,0)*('FOOD &amp; MATERIALS EXPENSE'!C$8+'FOOD &amp; MATERIALS EXPENSE'!C$17)))*'REIMBURSEMENTS AND REVENUES'!$C$19</f>
        <v>0</v>
      </c>
      <c r="I15" s="54"/>
      <c r="J15" s="216">
        <f>((ROUND('PARTICIPATION RATES'!F$14*'PARTICIPATION RATES'!F$15,0)*('FOOD &amp; MATERIALS EXPENSE'!E$4+'FOOD &amp; MATERIALS EXPENSE'!E$13))+(ROUND('PARTICIPATION RATES'!F$14*'PARTICIPATION RATES'!F$16,0)*('FOOD &amp; MATERIALS EXPENSE'!E$5+'FOOD &amp; MATERIALS EXPENSE'!E$14))+(ROUND('PARTICIPATION RATES'!F$14*'PARTICIPATION RATES'!F$17,0)*('FOOD &amp; MATERIALS EXPENSE'!E$6+'FOOD &amp; MATERIALS EXPENSE'!E$15))+(ROUND('PARTICIPATION RATES'!F$14*'PARTICIPATION RATES'!F$18,0)*('FOOD &amp; MATERIALS EXPENSE'!E$7+'FOOD &amp; MATERIALS EXPENSE'!E$16))+(ROUND('PARTICIPATION RATES'!F$14*'PARTICIPATION RATES'!F$19,0)*('FOOD &amp; MATERIALS EXPENSE'!E$8+'FOOD &amp; MATERIALS EXPENSE'!E$17)))*'REIMBURSEMENTS AND REVENUES'!$C$19</f>
        <v>0</v>
      </c>
      <c r="K15" s="216">
        <f>((ROUND('PARTICIPATION RATES'!G$14*'PARTICIPATION RATES'!G$15,0)*('FOOD &amp; MATERIALS EXPENSE'!E$4+'FOOD &amp; MATERIALS EXPENSE'!E$13))+(ROUND('PARTICIPATION RATES'!G$14*'PARTICIPATION RATES'!G$16,0)*('FOOD &amp; MATERIALS EXPENSE'!E$5+'FOOD &amp; MATERIALS EXPENSE'!E$14))+(ROUND('PARTICIPATION RATES'!G$14*'PARTICIPATION RATES'!G$17,0)*('FOOD &amp; MATERIALS EXPENSE'!E$6+'FOOD &amp; MATERIALS EXPENSE'!E$15))+(ROUND('PARTICIPATION RATES'!G$14*'PARTICIPATION RATES'!G$18,0)*('FOOD &amp; MATERIALS EXPENSE'!E$7+'FOOD &amp; MATERIALS EXPENSE'!E$16))+(ROUND('PARTICIPATION RATES'!G$14*'PARTICIPATION RATES'!G$19,0)*('FOOD &amp; MATERIALS EXPENSE'!E$8+'FOOD &amp; MATERIALS EXPENSE'!E$17)))*'REIMBURSEMENTS AND REVENUES'!$C$19</f>
        <v>0</v>
      </c>
      <c r="Q15" s="25"/>
    </row>
    <row r="16" spans="2:17" ht="26.5" customHeight="1" x14ac:dyDescent="0.2">
      <c r="B16" s="65" t="s">
        <v>62</v>
      </c>
      <c r="C16" s="310">
        <v>0</v>
      </c>
      <c r="D16" s="83"/>
      <c r="E16" s="78">
        <f>C16</f>
        <v>0</v>
      </c>
      <c r="G16" s="177" t="str">
        <f>ENROLLMENT!H13</f>
        <v>SCHOOL TYPE #4</v>
      </c>
      <c r="H16" s="241">
        <f>((ROUND('PARTICIPATION RATES'!J$14*'PARTICIPATION RATES'!J$15,0)*('FOOD &amp; MATERIALS EXPENSE'!C$4+'FOOD &amp; MATERIALS EXPENSE'!C$13))+(ROUND('PARTICIPATION RATES'!J$14*'PARTICIPATION RATES'!J$16,0)*('FOOD &amp; MATERIALS EXPENSE'!C$5+'FOOD &amp; MATERIALS EXPENSE'!C$14))+(ROUND('PARTICIPATION RATES'!J$14*'PARTICIPATION RATES'!J$17,0)*('FOOD &amp; MATERIALS EXPENSE'!C$6+'FOOD &amp; MATERIALS EXPENSE'!C$15))+(ROUND('PARTICIPATION RATES'!J$14*'PARTICIPATION RATES'!J$18,0)*('FOOD &amp; MATERIALS EXPENSE'!C$7+'FOOD &amp; MATERIALS EXPENSE'!C$16))+(ROUND('PARTICIPATION RATES'!J$14*'PARTICIPATION RATES'!J$19,0)*('FOOD &amp; MATERIALS EXPENSE'!C$8+'FOOD &amp; MATERIALS EXPENSE'!C$17)))*'REIMBURSEMENTS AND REVENUES'!$C$19</f>
        <v>0</v>
      </c>
      <c r="I16" s="242"/>
      <c r="J16" s="241">
        <f>((ROUND('PARTICIPATION RATES'!L$14*'PARTICIPATION RATES'!L$15,0)*('FOOD &amp; MATERIALS EXPENSE'!E$4+'FOOD &amp; MATERIALS EXPENSE'!E$13))+(ROUND('PARTICIPATION RATES'!L$14*'PARTICIPATION RATES'!L$16,0)*('FOOD &amp; MATERIALS EXPENSE'!E$5+'FOOD &amp; MATERIALS EXPENSE'!E$14))+(ROUND('PARTICIPATION RATES'!L$14*'PARTICIPATION RATES'!L$17,0)*('FOOD &amp; MATERIALS EXPENSE'!E$6+'FOOD &amp; MATERIALS EXPENSE'!E$15))+(ROUND('PARTICIPATION RATES'!L$14*'PARTICIPATION RATES'!L$18,0)*('FOOD &amp; MATERIALS EXPENSE'!E$7+'FOOD &amp; MATERIALS EXPENSE'!E$16))+(ROUND('PARTICIPATION RATES'!L$14*'PARTICIPATION RATES'!L$19,0)*('FOOD &amp; MATERIALS EXPENSE'!E$8+'FOOD &amp; MATERIALS EXPENSE'!E$17)))*'REIMBURSEMENTS AND REVENUES'!$C$19</f>
        <v>0</v>
      </c>
      <c r="K16" s="241">
        <f>((ROUND('PARTICIPATION RATES'!M$14*'PARTICIPATION RATES'!M$15,0)*('FOOD &amp; MATERIALS EXPENSE'!E$4+'FOOD &amp; MATERIALS EXPENSE'!E$13))+(ROUND('PARTICIPATION RATES'!M$14*'PARTICIPATION RATES'!M$16,0)*('FOOD &amp; MATERIALS EXPENSE'!E$5+'FOOD &amp; MATERIALS EXPENSE'!E$14))+(ROUND('PARTICIPATION RATES'!M$14*'PARTICIPATION RATES'!M$17,0)*('FOOD &amp; MATERIALS EXPENSE'!E$6+'FOOD &amp; MATERIALS EXPENSE'!E$15))+(ROUND('PARTICIPATION RATES'!M$14*'PARTICIPATION RATES'!M$18,0)*('FOOD &amp; MATERIALS EXPENSE'!E$7+'FOOD &amp; MATERIALS EXPENSE'!E$16))+(ROUND('PARTICIPATION RATES'!M$14*'PARTICIPATION RATES'!M$19,0)*('FOOD &amp; MATERIALS EXPENSE'!E$8+'FOOD &amp; MATERIALS EXPENSE'!E$17)))*'REIMBURSEMENTS AND REVENUES'!$C$19</f>
        <v>0</v>
      </c>
    </row>
    <row r="17" spans="2:17" ht="26.5" customHeight="1" x14ac:dyDescent="0.2">
      <c r="B17" s="133" t="s">
        <v>105</v>
      </c>
      <c r="C17" s="78">
        <v>0</v>
      </c>
      <c r="D17" s="220"/>
      <c r="E17" s="78">
        <f t="shared" ref="E17" si="2">C17</f>
        <v>0</v>
      </c>
      <c r="G17" s="178" t="s">
        <v>107</v>
      </c>
      <c r="H17" s="180">
        <f>SUM(H13:H14)</f>
        <v>0</v>
      </c>
      <c r="I17" s="184"/>
      <c r="J17" s="180">
        <f>SUM(J13:J14)</f>
        <v>0</v>
      </c>
      <c r="K17" s="180">
        <f>SUM(K13:K14)</f>
        <v>0</v>
      </c>
      <c r="Q17" s="17"/>
    </row>
    <row r="18" spans="2:17" ht="26.5" customHeight="1" x14ac:dyDescent="0.2">
      <c r="B18" s="17"/>
      <c r="C18" s="17"/>
      <c r="D18" s="17"/>
      <c r="E18" s="17"/>
    </row>
    <row r="19" spans="2:17" ht="26.5" customHeight="1" x14ac:dyDescent="0.2">
      <c r="B19" s="333" t="s">
        <v>77</v>
      </c>
      <c r="C19" s="333"/>
      <c r="D19" s="333"/>
      <c r="E19" s="333"/>
      <c r="G19" s="329" t="s">
        <v>68</v>
      </c>
      <c r="H19" s="329"/>
      <c r="I19" s="329"/>
      <c r="J19" s="329"/>
    </row>
  </sheetData>
  <sheetProtection sheet="1" selectLockedCells="1"/>
  <mergeCells count="4">
    <mergeCell ref="J2:K2"/>
    <mergeCell ref="B19:E19"/>
    <mergeCell ref="G19:J19"/>
    <mergeCell ref="J11:K11"/>
  </mergeCells>
  <hyperlinks>
    <hyperlink ref="Q17" location="'PARTICIPATION RATES'!C3" display="CLICK HERE TO ADVANCE TO THE NEXT PAGE" xr:uid="{9F33B9C0-EA2D-4A78-AF5A-8CBEE4EDD379}"/>
    <hyperlink ref="B19" location="'REIMBURSEMENTS AND REVENUES'!C2" display="CLICK HERE TO ADVANCE TO THE NEXT PAGE" xr:uid="{E70A5088-48C9-452D-A639-5F63B5D6955C}"/>
    <hyperlink ref="G19" location="'DISTRICT ENROLLMENT'!A1" display="CLICK HERE TO ADVANCE TO THE NEXT PAGE" xr:uid="{EF352ECB-5589-4DAF-B14F-BD2BEBD65FD8}"/>
    <hyperlink ref="G19:I19" location="'PARTICIPATION RATES'!C3" display="CLICK HERE TO ADVANCE TO THE NEXT PAGE" xr:uid="{EDCF6F2A-964C-460A-9E8A-3117B18E32E9}"/>
    <hyperlink ref="B19:E19" location="'PARTICIPATION RATES'!D3" display="CLICK HERE TO RETURN TO THE PREVIOUS PAGE" xr:uid="{E2F1C5E0-1A07-4DE1-818F-381E84C7B3C6}"/>
    <hyperlink ref="G19:J19" location="'ADMIN LABOR ASSUMPTIONS'!C3" display="CLICK HERE TO ADVANCE TO THE NEXT PAGE" xr:uid="{48444DAC-41CC-4D59-9553-F3EEB02034A4}"/>
  </hyperlinks>
  <pageMargins left="0.7" right="0.7" top="0.75" bottom="0.75" header="0.3" footer="0.3"/>
  <pageSetup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4F292-26F2-4663-99FD-672413C39575}">
  <dimension ref="B1:J27"/>
  <sheetViews>
    <sheetView zoomScale="80" zoomScaleNormal="80" workbookViewId="0">
      <selection activeCell="E13" sqref="E13"/>
    </sheetView>
  </sheetViews>
  <sheetFormatPr baseColWidth="10" defaultColWidth="8.83203125" defaultRowHeight="26.5" customHeight="1" x14ac:dyDescent="0.2"/>
  <cols>
    <col min="1" max="1" width="1.5" style="25" customWidth="1"/>
    <col min="2" max="2" width="64.5" style="28" bestFit="1" customWidth="1"/>
    <col min="3" max="3" width="15.5" style="28" customWidth="1"/>
    <col min="4" max="4" width="1.5" style="59" customWidth="1"/>
    <col min="5" max="6" width="15.5" style="28" customWidth="1"/>
    <col min="7" max="7" width="7.1640625" style="25" customWidth="1"/>
    <col min="8" max="8" width="47.1640625" style="25" customWidth="1"/>
    <col min="9" max="9" width="12.1640625" style="72" customWidth="1"/>
    <col min="10" max="10" width="13.6640625" style="72" customWidth="1"/>
    <col min="11" max="16384" width="8.83203125" style="25"/>
  </cols>
  <sheetData>
    <row r="1" spans="2:10" ht="33" customHeight="1" x14ac:dyDescent="0.2">
      <c r="B1" s="108" t="s">
        <v>102</v>
      </c>
      <c r="C1" s="171" t="s">
        <v>98</v>
      </c>
      <c r="D1" s="103"/>
      <c r="E1" s="331" t="s">
        <v>99</v>
      </c>
      <c r="F1" s="332"/>
    </row>
    <row r="2" spans="2:10" ht="25.25" customHeight="1" x14ac:dyDescent="0.2">
      <c r="B2" s="168" t="str">
        <f>ENROLLMENT!B2</f>
        <v>SCHOOL TYPE #1</v>
      </c>
      <c r="C2" s="95" t="s">
        <v>78</v>
      </c>
      <c r="D2" s="92"/>
      <c r="E2" s="114" t="s">
        <v>50</v>
      </c>
      <c r="F2" s="96" t="s">
        <v>47</v>
      </c>
      <c r="G2" s="104"/>
      <c r="H2" s="276" t="s">
        <v>77</v>
      </c>
    </row>
    <row r="3" spans="2:10" ht="20" customHeight="1" x14ac:dyDescent="0.2">
      <c r="B3" s="66" t="s">
        <v>96</v>
      </c>
      <c r="C3" s="311">
        <v>0</v>
      </c>
      <c r="D3" s="51"/>
      <c r="E3" s="311">
        <v>0</v>
      </c>
      <c r="F3" s="311">
        <v>0</v>
      </c>
      <c r="I3" s="25"/>
      <c r="J3" s="25"/>
    </row>
    <row r="4" spans="2:10" ht="20" customHeight="1" x14ac:dyDescent="0.2">
      <c r="B4" s="66" t="s">
        <v>43</v>
      </c>
      <c r="C4" s="311">
        <v>0</v>
      </c>
      <c r="D4" s="103"/>
      <c r="E4" s="311">
        <v>0</v>
      </c>
      <c r="F4" s="305"/>
    </row>
    <row r="5" spans="2:10" ht="20" customHeight="1" x14ac:dyDescent="0.2">
      <c r="B5" s="65" t="s">
        <v>42</v>
      </c>
      <c r="C5" s="78">
        <v>0</v>
      </c>
      <c r="D5" s="58"/>
      <c r="E5" s="79">
        <v>0</v>
      </c>
      <c r="F5" s="310">
        <v>0</v>
      </c>
    </row>
    <row r="6" spans="2:10" ht="20" customHeight="1" x14ac:dyDescent="0.2">
      <c r="B6" s="170" t="s">
        <v>97</v>
      </c>
      <c r="C6" s="223">
        <f>('REIMBURSEMENTS AND REVENUES'!$C$19*'ADMIN LABOR ASSUMPTIONS'!C3*'ADMIN LABOR ASSUMPTIONS'!C5)+('ADMIN LABOR ASSUMPTIONS'!C4*'ADMIN LABOR ASSUMPTIONS'!C5)</f>
        <v>0</v>
      </c>
      <c r="D6" s="224"/>
      <c r="E6" s="224">
        <f>('REIMBURSEMENTS AND REVENUES'!$C$19*'ADMIN LABOR ASSUMPTIONS'!E3*'ADMIN LABOR ASSUMPTIONS'!E5)+('ADMIN LABOR ASSUMPTIONS'!E4*'ADMIN LABOR ASSUMPTIONS'!E5)</f>
        <v>0</v>
      </c>
      <c r="F6" s="225">
        <f>('REIMBURSEMENTS AND REVENUES'!$C$19*'ADMIN LABOR ASSUMPTIONS'!F3*'ADMIN LABOR ASSUMPTIONS'!F5)+('ADMIN LABOR ASSUMPTIONS'!F4*'ADMIN LABOR ASSUMPTIONS'!F5)</f>
        <v>0</v>
      </c>
    </row>
    <row r="7" spans="2:10" s="73" customFormat="1" ht="26.5" customHeight="1" x14ac:dyDescent="0.2">
      <c r="B7" s="168" t="str">
        <f>ENROLLMENT!H2</f>
        <v>SCHOOL TYPE #2</v>
      </c>
      <c r="C7" s="95"/>
      <c r="D7" s="92"/>
      <c r="E7" s="114"/>
      <c r="F7" s="96"/>
      <c r="I7" s="90"/>
      <c r="J7" s="90"/>
    </row>
    <row r="8" spans="2:10" ht="20" customHeight="1" x14ac:dyDescent="0.2">
      <c r="B8" s="66" t="s">
        <v>96</v>
      </c>
      <c r="C8" s="311">
        <v>0</v>
      </c>
      <c r="D8" s="51"/>
      <c r="E8" s="311">
        <v>0</v>
      </c>
      <c r="F8" s="311">
        <v>0</v>
      </c>
    </row>
    <row r="9" spans="2:10" ht="20" customHeight="1" x14ac:dyDescent="0.2">
      <c r="B9" s="66" t="s">
        <v>95</v>
      </c>
      <c r="C9" s="311">
        <v>0</v>
      </c>
      <c r="D9" s="103"/>
      <c r="E9" s="311">
        <v>0</v>
      </c>
      <c r="F9" s="305"/>
    </row>
    <row r="10" spans="2:10" ht="20" customHeight="1" x14ac:dyDescent="0.2">
      <c r="B10" s="65" t="s">
        <v>42</v>
      </c>
      <c r="C10" s="78">
        <v>0</v>
      </c>
      <c r="D10" s="58"/>
      <c r="E10" s="79">
        <v>0</v>
      </c>
      <c r="F10" s="310">
        <v>0</v>
      </c>
    </row>
    <row r="11" spans="2:10" ht="20" customHeight="1" x14ac:dyDescent="0.2">
      <c r="B11" s="170" t="s">
        <v>97</v>
      </c>
      <c r="C11" s="223">
        <f>('REIMBURSEMENTS AND REVENUES'!$C$19*C8*C10)+(C9*C10)</f>
        <v>0</v>
      </c>
      <c r="D11" s="224"/>
      <c r="E11" s="224">
        <f>('REIMBURSEMENTS AND REVENUES'!$C$19*E8*E10)+(E9*E10)</f>
        <v>0</v>
      </c>
      <c r="F11" s="225">
        <f>('REIMBURSEMENTS AND REVENUES'!$C$19*F8*F10)+(F9*F10)</f>
        <v>0</v>
      </c>
    </row>
    <row r="12" spans="2:10" ht="26.5" customHeight="1" x14ac:dyDescent="0.2">
      <c r="B12" s="94" t="str">
        <f>ENROLLMENT!B13</f>
        <v>SCHOOL TYPE #3</v>
      </c>
      <c r="C12" s="95"/>
      <c r="D12" s="92"/>
      <c r="E12" s="114"/>
      <c r="F12" s="96"/>
    </row>
    <row r="13" spans="2:10" ht="20" customHeight="1" x14ac:dyDescent="0.2">
      <c r="B13" s="66" t="s">
        <v>96</v>
      </c>
      <c r="C13" s="311">
        <v>0</v>
      </c>
      <c r="D13" s="51"/>
      <c r="E13" s="311">
        <v>0</v>
      </c>
      <c r="F13" s="311">
        <v>0</v>
      </c>
    </row>
    <row r="14" spans="2:10" ht="20" customHeight="1" x14ac:dyDescent="0.2">
      <c r="B14" s="66" t="s">
        <v>95</v>
      </c>
      <c r="C14" s="311">
        <v>0</v>
      </c>
      <c r="D14" s="103"/>
      <c r="E14" s="311">
        <v>0</v>
      </c>
      <c r="F14" s="305"/>
    </row>
    <row r="15" spans="2:10" ht="20" customHeight="1" x14ac:dyDescent="0.2">
      <c r="B15" s="65" t="s">
        <v>42</v>
      </c>
      <c r="C15" s="78">
        <v>0</v>
      </c>
      <c r="D15" s="58"/>
      <c r="E15" s="79">
        <v>0</v>
      </c>
      <c r="F15" s="310">
        <v>0</v>
      </c>
      <c r="I15" s="25"/>
      <c r="J15" s="25"/>
    </row>
    <row r="16" spans="2:10" ht="20" customHeight="1" x14ac:dyDescent="0.2">
      <c r="B16" s="111" t="s">
        <v>97</v>
      </c>
      <c r="C16" s="223">
        <f>('REIMBURSEMENTS AND REVENUES'!$C$19*C13*C15)+(C14*C15)</f>
        <v>0</v>
      </c>
      <c r="D16" s="224"/>
      <c r="E16" s="224">
        <f>('REIMBURSEMENTS AND REVENUES'!$C$19*E13*E15)+(E14*E15)</f>
        <v>0</v>
      </c>
      <c r="F16" s="225">
        <f>('REIMBURSEMENTS AND REVENUES'!$C$19*F13*F15)+(F14*F15)</f>
        <v>0</v>
      </c>
    </row>
    <row r="17" spans="2:10" ht="20" customHeight="1" x14ac:dyDescent="0.2">
      <c r="B17" s="94" t="str">
        <f>ENROLLMENT!H13</f>
        <v>SCHOOL TYPE #4</v>
      </c>
      <c r="C17" s="95"/>
      <c r="D17" s="92"/>
      <c r="E17" s="114"/>
      <c r="F17" s="96"/>
    </row>
    <row r="18" spans="2:10" ht="20" customHeight="1" x14ac:dyDescent="0.2">
      <c r="B18" s="66" t="s">
        <v>96</v>
      </c>
      <c r="C18" s="311">
        <v>0</v>
      </c>
      <c r="D18" s="51"/>
      <c r="E18" s="311">
        <v>0</v>
      </c>
      <c r="F18" s="311">
        <v>0</v>
      </c>
    </row>
    <row r="19" spans="2:10" ht="20" customHeight="1" x14ac:dyDescent="0.2">
      <c r="B19" s="66" t="s">
        <v>95</v>
      </c>
      <c r="C19" s="311">
        <v>0</v>
      </c>
      <c r="D19" s="103"/>
      <c r="E19" s="311">
        <v>0</v>
      </c>
      <c r="F19" s="305"/>
    </row>
    <row r="20" spans="2:10" ht="20" customHeight="1" x14ac:dyDescent="0.2">
      <c r="B20" s="65" t="s">
        <v>42</v>
      </c>
      <c r="C20" s="78">
        <v>0</v>
      </c>
      <c r="D20" s="58"/>
      <c r="E20" s="79">
        <v>0</v>
      </c>
      <c r="F20" s="310">
        <v>0</v>
      </c>
    </row>
    <row r="21" spans="2:10" ht="20" customHeight="1" x14ac:dyDescent="0.2">
      <c r="B21" s="111" t="s">
        <v>97</v>
      </c>
      <c r="C21" s="223">
        <f>('REIMBURSEMENTS AND REVENUES'!$C$19*'ADMIN LABOR ASSUMPTIONS'!C18*'ADMIN LABOR ASSUMPTIONS'!C20)+('ADMIN LABOR ASSUMPTIONS'!C19*'ADMIN LABOR ASSUMPTIONS'!C20)</f>
        <v>0</v>
      </c>
      <c r="D21" s="224"/>
      <c r="E21" s="224">
        <f>('REIMBURSEMENTS AND REVENUES'!$C$19*'ADMIN LABOR ASSUMPTIONS'!E18*'ADMIN LABOR ASSUMPTIONS'!E20)+('ADMIN LABOR ASSUMPTIONS'!E19*'ADMIN LABOR ASSUMPTIONS'!E20)</f>
        <v>0</v>
      </c>
      <c r="F21" s="225">
        <f>('REIMBURSEMENTS AND REVENUES'!$C$19*'ADMIN LABOR ASSUMPTIONS'!F18*'ADMIN LABOR ASSUMPTIONS'!F20)+('ADMIN LABOR ASSUMPTIONS'!F19*'ADMIN LABOR ASSUMPTIONS'!F20)</f>
        <v>0</v>
      </c>
    </row>
    <row r="22" spans="2:10" ht="20" customHeight="1" x14ac:dyDescent="0.2">
      <c r="B22" s="25"/>
      <c r="C22" s="25"/>
      <c r="D22" s="243"/>
      <c r="E22" s="243"/>
      <c r="F22" s="243"/>
    </row>
    <row r="23" spans="2:10" ht="20" customHeight="1" x14ac:dyDescent="0.2">
      <c r="B23" s="165" t="s">
        <v>155</v>
      </c>
      <c r="C23" s="166">
        <v>0</v>
      </c>
      <c r="D23" s="243"/>
      <c r="E23" s="244">
        <f>IF($C$23=0,0,$C$23*(ENROLLMENT!$Q$6/SUM(ENROLLMENT!$Q$6:$R$6)))</f>
        <v>0</v>
      </c>
      <c r="F23" s="245">
        <f>IF($C$23=0,0,$C$23*(ENROLLMENT!$R$6/SUM(ENROLLMENT!$Q$6:$R$6)))</f>
        <v>0</v>
      </c>
    </row>
    <row r="24" spans="2:10" ht="20" customHeight="1" x14ac:dyDescent="0.2">
      <c r="D24" s="243"/>
      <c r="E24" s="243"/>
      <c r="F24" s="243"/>
    </row>
    <row r="25" spans="2:10" ht="20" customHeight="1" x14ac:dyDescent="0.2">
      <c r="B25" s="165" t="s">
        <v>165</v>
      </c>
      <c r="C25" s="284">
        <v>0</v>
      </c>
      <c r="D25" s="243"/>
      <c r="E25" s="243"/>
      <c r="F25" s="243"/>
    </row>
    <row r="26" spans="2:10" ht="20" customHeight="1" x14ac:dyDescent="0.2">
      <c r="B26" s="165" t="s">
        <v>166</v>
      </c>
      <c r="C26" s="284">
        <v>0</v>
      </c>
      <c r="D26" s="243"/>
      <c r="E26" s="243"/>
      <c r="F26" s="243"/>
      <c r="H26" s="275" t="s">
        <v>68</v>
      </c>
      <c r="I26" s="306"/>
      <c r="J26" s="306"/>
    </row>
    <row r="27" spans="2:10" ht="26.5" customHeight="1" x14ac:dyDescent="0.2">
      <c r="C27" s="222"/>
      <c r="D27" s="222"/>
    </row>
  </sheetData>
  <sheetProtection sheet="1" selectLockedCells="1"/>
  <mergeCells count="1">
    <mergeCell ref="E1:F1"/>
  </mergeCells>
  <dataValidations count="1">
    <dataValidation type="decimal" allowBlank="1" showInputMessage="1" showErrorMessage="1" sqref="C23 C25:C26" xr:uid="{8608A41D-B14D-4720-83C9-8C9A032346DF}">
      <formula1>0</formula1>
      <formula2>1000000</formula2>
    </dataValidation>
  </dataValidations>
  <hyperlinks>
    <hyperlink ref="H26" location="'DIRECT LABOR ASSUMPTIONS'!C4" display="CLICK HERE TO ADVANCE TO THE NEXT PAGE" xr:uid="{ED6CF90A-8481-451D-8F60-48B2F9F38BC4}"/>
    <hyperlink ref="H2" location="'FOOD &amp; MATERIALS EXPENSE'!C4" display="CLICK HERE TO RETURN TO THE PREVIOUS PAGE" xr:uid="{84C05397-5E3D-4933-99FE-EAF22DFB24AB}"/>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F9D1A-F78C-47CD-AAD7-9F17BB84CE98}">
  <dimension ref="B1:R23"/>
  <sheetViews>
    <sheetView zoomScale="80" zoomScaleNormal="80" workbookViewId="0">
      <selection activeCell="C8" sqref="C8"/>
    </sheetView>
  </sheetViews>
  <sheetFormatPr baseColWidth="10" defaultColWidth="8.83203125" defaultRowHeight="26.5" customHeight="1" x14ac:dyDescent="0.2"/>
  <cols>
    <col min="1" max="1" width="3.5" style="25" customWidth="1"/>
    <col min="2" max="2" width="26.83203125" style="28" customWidth="1"/>
    <col min="3" max="3" width="11.83203125" style="28" customWidth="1"/>
    <col min="4" max="4" width="1.5" style="59" customWidth="1"/>
    <col min="5" max="6" width="11.83203125" style="28" customWidth="1"/>
    <col min="7" max="7" width="1.83203125" style="25" customWidth="1"/>
    <col min="8" max="8" width="26.6640625" style="25" customWidth="1"/>
    <col min="9" max="9" width="11.83203125" style="25" customWidth="1"/>
    <col min="10" max="10" width="1.5" style="25" customWidth="1"/>
    <col min="11" max="12" width="11.83203125" style="25" customWidth="1"/>
    <col min="13" max="13" width="1.5" style="25" customWidth="1"/>
    <col min="14" max="14" width="27.33203125" style="72" customWidth="1"/>
    <col min="15" max="15" width="13.6640625" style="72" customWidth="1"/>
    <col min="16" max="16" width="1.5" style="72" customWidth="1"/>
    <col min="17" max="16384" width="8.83203125" style="25"/>
  </cols>
  <sheetData>
    <row r="1" spans="2:18" ht="26.5" customHeight="1" x14ac:dyDescent="0.2">
      <c r="B1" s="108" t="s">
        <v>101</v>
      </c>
    </row>
    <row r="2" spans="2:18" ht="26.75" customHeight="1" x14ac:dyDescent="0.2">
      <c r="B2" s="25"/>
      <c r="C2" s="171" t="s">
        <v>98</v>
      </c>
      <c r="D2" s="103"/>
      <c r="E2" s="331" t="s">
        <v>99</v>
      </c>
      <c r="F2" s="332"/>
      <c r="I2" s="171" t="s">
        <v>98</v>
      </c>
      <c r="J2" s="103"/>
      <c r="K2" s="331" t="s">
        <v>99</v>
      </c>
      <c r="L2" s="332"/>
      <c r="N2" s="25"/>
      <c r="O2" s="171" t="s">
        <v>98</v>
      </c>
      <c r="P2" s="103"/>
      <c r="Q2" s="331" t="s">
        <v>99</v>
      </c>
      <c r="R2" s="332"/>
    </row>
    <row r="3" spans="2:18" ht="26.25" customHeight="1" x14ac:dyDescent="0.2">
      <c r="B3" s="105" t="str">
        <f>ENROLLMENT!B2</f>
        <v>SCHOOL TYPE #1</v>
      </c>
      <c r="C3" s="95" t="s">
        <v>78</v>
      </c>
      <c r="D3" s="92"/>
      <c r="E3" s="114" t="s">
        <v>50</v>
      </c>
      <c r="F3" s="96" t="s">
        <v>47</v>
      </c>
      <c r="H3" s="105" t="str">
        <f>ENROLLMENT!B13</f>
        <v>SCHOOL TYPE #3</v>
      </c>
      <c r="I3" s="95" t="s">
        <v>78</v>
      </c>
      <c r="J3" s="92"/>
      <c r="K3" s="114" t="s">
        <v>50</v>
      </c>
      <c r="L3" s="96" t="s">
        <v>47</v>
      </c>
      <c r="N3" s="105" t="s">
        <v>153</v>
      </c>
      <c r="O3" s="106" t="s">
        <v>78</v>
      </c>
      <c r="P3" s="92"/>
      <c r="Q3" s="140" t="s">
        <v>50</v>
      </c>
      <c r="R3" s="107" t="s">
        <v>47</v>
      </c>
    </row>
    <row r="4" spans="2:18" ht="34.25" customHeight="1" x14ac:dyDescent="0.2">
      <c r="B4" s="66" t="s">
        <v>94</v>
      </c>
      <c r="C4" s="312" t="s">
        <v>86</v>
      </c>
      <c r="D4" s="85"/>
      <c r="E4" s="312" t="s">
        <v>86</v>
      </c>
      <c r="F4" s="312" t="s">
        <v>86</v>
      </c>
      <c r="H4" s="66" t="s">
        <v>94</v>
      </c>
      <c r="I4" s="312" t="s">
        <v>86</v>
      </c>
      <c r="J4" s="85"/>
      <c r="K4" s="312" t="s">
        <v>86</v>
      </c>
      <c r="L4" s="312" t="s">
        <v>86</v>
      </c>
      <c r="N4" s="65" t="s">
        <v>154</v>
      </c>
      <c r="O4" s="269">
        <f>SUM(C5,C14,I5,I14)</f>
        <v>0</v>
      </c>
      <c r="P4" s="231"/>
      <c r="Q4" s="270">
        <f>SUM(E5,E14,K5,K14)</f>
        <v>0</v>
      </c>
      <c r="R4" s="271">
        <f>SUM(F5,F14,L5,L14)</f>
        <v>0</v>
      </c>
    </row>
    <row r="5" spans="2:18" ht="25.25" customHeight="1" x14ac:dyDescent="0.2">
      <c r="B5" s="65" t="s">
        <v>146</v>
      </c>
      <c r="C5" s="313">
        <v>0</v>
      </c>
      <c r="D5" s="231"/>
      <c r="E5" s="313">
        <v>0</v>
      </c>
      <c r="F5" s="313">
        <v>0</v>
      </c>
      <c r="H5" s="65" t="s">
        <v>146</v>
      </c>
      <c r="I5" s="313">
        <v>0</v>
      </c>
      <c r="J5" s="231"/>
      <c r="K5" s="313">
        <v>0</v>
      </c>
      <c r="L5" s="313">
        <v>0</v>
      </c>
      <c r="N5" s="65" t="s">
        <v>144</v>
      </c>
      <c r="O5" s="158">
        <f>IF(OR( 'PARTICIPATION RATES'!P10=0,O4=0),0,'PARTICIPATION RATES'!P10/O4)</f>
        <v>0</v>
      </c>
      <c r="P5" s="85"/>
      <c r="Q5" s="159">
        <f>IF(OR( 'PARTICIPATION RATES'!R10=0,Q4=0),0,'PARTICIPATION RATES'!R10/Q4)</f>
        <v>0</v>
      </c>
      <c r="R5" s="160">
        <f>IF(OR( 'PARTICIPATION RATES'!S10=0,R4=0),0,'PARTICIPATION RATES'!S10/R4)</f>
        <v>0</v>
      </c>
    </row>
    <row r="6" spans="2:18" ht="25.25" customHeight="1" x14ac:dyDescent="0.2">
      <c r="B6" s="65" t="s">
        <v>144</v>
      </c>
      <c r="C6" s="158">
        <f>IF(C5=0,0,'PARTICIPATION RATES'!D10/C5)</f>
        <v>0</v>
      </c>
      <c r="D6" s="85"/>
      <c r="E6" s="159">
        <f>IF(E5=0,0,'PARTICIPATION RATES'!F10/E5)</f>
        <v>0</v>
      </c>
      <c r="F6" s="160">
        <f>IF(F5=0,0,'PARTICIPATION RATES'!G10/F5)</f>
        <v>0</v>
      </c>
      <c r="H6" s="65" t="s">
        <v>144</v>
      </c>
      <c r="I6" s="158">
        <f>IF(I5=0,0,'PARTICIPATION RATES'!D20/I5)</f>
        <v>0</v>
      </c>
      <c r="J6" s="85"/>
      <c r="K6" s="159">
        <f>IF(K5=0,0,'PARTICIPATION RATES'!F20/K5)</f>
        <v>0</v>
      </c>
      <c r="L6" s="160">
        <f>IF(L5=0,0,'PARTICIPATION RATES'!G20/L5)</f>
        <v>0</v>
      </c>
      <c r="N6" s="65" t="s">
        <v>34</v>
      </c>
      <c r="O6" s="158" t="str">
        <f>IF(AND('PARTICIPATION RATES'!$P$10&gt;='MPLH COMPS'!$B$3,'PARTICIPATION RATES'!$P$10&lt;='MPLH COMPS'!$C$3),'MPLH COMPS'!$D$3&amp;" - "&amp;'MPLH COMPS'!$G$3,
IF(AND('PARTICIPATION RATES'!$P$10&gt;='MPLH COMPS'!$B$4,'PARTICIPATION RATES'!$P$10&lt;='MPLH COMPS'!$C$4),'MPLH COMPS'!$D$4&amp;" - "&amp;'MPLH COMPS'!$G$4,
IF(AND('PARTICIPATION RATES'!$P$10&gt;='MPLH COMPS'!$B$5,'PARTICIPATION RATES'!$P$10&lt;='MPLH COMPS'!$C$5),'MPLH COMPS'!$D$5&amp;" - "&amp;'MPLH COMPS'!$G$5,
IF(AND('PARTICIPATION RATES'!$P$10&gt;='MPLH COMPS'!$B$6,'PARTICIPATION RATES'!$P$10&lt;='MPLH COMPS'!$C$6),'MPLH COMPS'!$D$6&amp;" - "&amp;'MPLH COMPS'!$G$6,
IF(AND('PARTICIPATION RATES'!$P$10&gt;='MPLH COMPS'!$B$7,'PARTICIPATION RATES'!$P$10&lt;='MPLH COMPS'!$C$7),'MPLH COMPS'!$D$7&amp;" - "&amp;'MPLH COMPS'!$G$7,
IF(AND('PARTICIPATION RATES'!$P$10&gt;='MPLH COMPS'!$B$8,'PARTICIPATION RATES'!$P$10&lt;='MPLH COMPS'!$C$8),'MPLH COMPS'!$D$8&amp;" - "&amp;'MPLH COMPS'!$G$8,
IF(AND('PARTICIPATION RATES'!$P$10&gt;='MPLH COMPS'!$B$9,'PARTICIPATION RATES'!$P$10&lt;='MPLH COMPS'!$C$9),'MPLH COMPS'!$D$9&amp;" - "&amp;'MPLH COMPS'!$G$9,
IF(AND('PARTICIPATION RATES'!$P$10&gt;='MPLH COMPS'!$B$10,'PARTICIPATION RATES'!$P$10&lt;='MPLH COMPS'!$C$10),'MPLH COMPS'!$D$10&amp;" - "&amp;'MPLH COMPS'!$G$10,
IF(AND('PARTICIPATION RATES'!$P$10&gt;='MPLH COMPS'!$B$11,'PARTICIPATION RATES'!$P$10&lt;='MPLH COMPS'!$C$11),'MPLH COMPS'!$D$11&amp;" - "&amp;'MPLH COMPS'!$G$11,
IF(AND('PARTICIPATION RATES'!$P$10&gt;='MPLH COMPS'!$B$12,'PARTICIPATION RATES'!$P$10&lt;='MPLH COMPS'!$C$12),'MPLH COMPS'!$D$12&amp;" - "&amp;'MPLH COMPS'!$G$12,
IF(AND('PARTICIPATION RATES'!$P$10&gt;='MPLH COMPS'!$B$13,'PARTICIPATION RATES'!$P$10&lt;='MPLH COMPS'!$C$13),'MPLH COMPS'!$D$13&amp;" - "&amp;'MPLH COMPS'!$G$13,
"")))))))))))</f>
        <v/>
      </c>
      <c r="P6" s="85"/>
      <c r="Q6" s="159" t="str">
        <f>IF(AND('PARTICIPATION RATES'!$R$10&gt;='MPLH COMPS'!$B$3,'PARTICIPATION RATES'!$R$10&lt;='MPLH COMPS'!$C$3),'MPLH COMPS'!$D$3&amp;" - "&amp;'MPLH COMPS'!$G$3,
IF(AND('PARTICIPATION RATES'!$R$10&gt;='MPLH COMPS'!$B$4,'PARTICIPATION RATES'!$R$10&lt;='MPLH COMPS'!$C$4),'MPLH COMPS'!$D$4&amp;" - "&amp;'MPLH COMPS'!$G$4,
IF(AND('PARTICIPATION RATES'!$R$10&gt;='MPLH COMPS'!$B$5,'PARTICIPATION RATES'!$R$10&lt;='MPLH COMPS'!$C$5),'MPLH COMPS'!$D$5&amp;" - "&amp;'MPLH COMPS'!$G$5,
IF(AND('PARTICIPATION RATES'!$R$10&gt;='MPLH COMPS'!$B$6,'PARTICIPATION RATES'!$R$10&lt;='MPLH COMPS'!$C$6),'MPLH COMPS'!$D$6&amp;" - "&amp;'MPLH COMPS'!$G$6,
IF(AND('PARTICIPATION RATES'!$R$10&gt;='MPLH COMPS'!$B$7,'PARTICIPATION RATES'!$R$10&lt;='MPLH COMPS'!$C$7),'MPLH COMPS'!$D$7&amp;" - "&amp;'MPLH COMPS'!$G$7,
IF(AND('PARTICIPATION RATES'!$R$10&gt;='MPLH COMPS'!$B$8,'PARTICIPATION RATES'!$R$10&lt;='MPLH COMPS'!$C$8),'MPLH COMPS'!$D$8&amp;" - "&amp;'MPLH COMPS'!$G$8,
IF(AND('PARTICIPATION RATES'!$R$10&gt;='MPLH COMPS'!$B$9,'PARTICIPATION RATES'!$R$10&lt;='MPLH COMPS'!$C$9),'MPLH COMPS'!$D$9&amp;" - "&amp;'MPLH COMPS'!$G$9,
IF(AND('PARTICIPATION RATES'!$R$10&gt;='MPLH COMPS'!$B$10,'PARTICIPATION RATES'!$R$10&lt;='MPLH COMPS'!$C$10),'MPLH COMPS'!$D$10&amp;" - "&amp;'MPLH COMPS'!$G$10,
IF(AND('PARTICIPATION RATES'!$R$10&gt;='MPLH COMPS'!$B$11,'PARTICIPATION RATES'!$R$10&lt;='MPLH COMPS'!$C$11),'MPLH COMPS'!$D$11&amp;" - "&amp;'MPLH COMPS'!$G$11,
IF(AND('PARTICIPATION RATES'!$R$10&gt;='MPLH COMPS'!$B$12,'PARTICIPATION RATES'!$R$10&lt;='MPLH COMPS'!$C$12),'MPLH COMPS'!$D$12&amp;" - "&amp;'MPLH COMPS'!$G$12,
IF(AND('PARTICIPATION RATES'!$R$10&gt;='MPLH COMPS'!$B$13,'PARTICIPATION RATES'!$R$10&lt;='MPLH COMPS'!$C$13),'MPLH COMPS'!$D$13&amp;" - "&amp;'MPLH COMPS'!$G$13,
"")))))))))))</f>
        <v/>
      </c>
      <c r="R6" s="160" t="str">
        <f>IF(AND('PARTICIPATION RATES'!$S$10&gt;='MPLH COMPS'!$B$3,'PARTICIPATION RATES'!$S$10&lt;='MPLH COMPS'!$C$3),'MPLH COMPS'!$D$3&amp;" - "&amp;'MPLH COMPS'!$G$3,
IF(AND('PARTICIPATION RATES'!$S$10&gt;='MPLH COMPS'!$B$4,'PARTICIPATION RATES'!$S$10&lt;='MPLH COMPS'!$C$4),'MPLH COMPS'!$D$4&amp;" - "&amp;'MPLH COMPS'!$G$4,
IF(AND('PARTICIPATION RATES'!$S$10&gt;='MPLH COMPS'!$B$5,'PARTICIPATION RATES'!$S$10&lt;='MPLH COMPS'!$C$5),'MPLH COMPS'!$D$5&amp;" - "&amp;'MPLH COMPS'!$G$5,
IF(AND('PARTICIPATION RATES'!$S$10&gt;='MPLH COMPS'!$B$6,'PARTICIPATION RATES'!$S$10&lt;='MPLH COMPS'!$C$6),'MPLH COMPS'!$D$6&amp;" - "&amp;'MPLH COMPS'!$G$6,
IF(AND('PARTICIPATION RATES'!$S$10&gt;='MPLH COMPS'!$B$7,'PARTICIPATION RATES'!$S$10&lt;='MPLH COMPS'!$C$7),'MPLH COMPS'!$D$7&amp;" - "&amp;'MPLH COMPS'!$G$7,
IF(AND('PARTICIPATION RATES'!$S$10&gt;='MPLH COMPS'!$B$8,'PARTICIPATION RATES'!$S$10&lt;='MPLH COMPS'!$C$8),'MPLH COMPS'!$D$8&amp;" - "&amp;'MPLH COMPS'!$G$8,
IF(AND('PARTICIPATION RATES'!$S$10&gt;='MPLH COMPS'!$B$9,'PARTICIPATION RATES'!$S$10&lt;='MPLH COMPS'!$C$9),'MPLH COMPS'!$D$9&amp;" - "&amp;'MPLH COMPS'!$G$9,
IF(AND('PARTICIPATION RATES'!$S$10&gt;='MPLH COMPS'!$B$10,'PARTICIPATION RATES'!$S$10&lt;='MPLH COMPS'!$C$10),'MPLH COMPS'!$D$10&amp;" - "&amp;'MPLH COMPS'!$G$10,
IF(AND('PARTICIPATION RATES'!$S$10&gt;='MPLH COMPS'!$B$11,'PARTICIPATION RATES'!$S$10&lt;='MPLH COMPS'!$C$11),'MPLH COMPS'!$D$11&amp;" - "&amp;'MPLH COMPS'!$G$11,
IF(AND('PARTICIPATION RATES'!$S$10&gt;='MPLH COMPS'!$B$12,'PARTICIPATION RATES'!$S$10&lt;='MPLH COMPS'!$C$12),'MPLH COMPS'!$D$12&amp;" - "&amp;'MPLH COMPS'!$G$12,
IF(AND('PARTICIPATION RATES'!$S$10&gt;='MPLH COMPS'!$B$13,'PARTICIPATION RATES'!$S$10&lt;='MPLH COMPS'!$C$13),'MPLH COMPS'!$D$13&amp;" - "&amp;'MPLH COMPS'!$G$13,
"")))))))))))</f>
        <v/>
      </c>
    </row>
    <row r="7" spans="2:18" ht="25.25" customHeight="1" x14ac:dyDescent="0.2">
      <c r="B7" s="65" t="s">
        <v>34</v>
      </c>
      <c r="C7" s="158" t="str">
        <f>IF(AND(C4="CONVENTIONAL SYSTEM",'PARTICIPATION RATES'!$D$10&gt;='MPLH COMPS'!$B$3,'PARTICIPATION RATES'!$D$10&lt;='MPLH COMPS'!$C$3),'MPLH COMPS'!$D$3&amp;" - "&amp;'MPLH COMPS'!$E$3,
IF(AND(C4="CONVENTIONAL SYSTEM",'PARTICIPATION RATES'!$D$10&gt;='MPLH COMPS'!$B$4,'PARTICIPATION RATES'!$D$10&lt;='MPLH COMPS'!$C$4),'MPLH COMPS'!$D$4&amp;" - "&amp;'MPLH COMPS'!$E$4,
IF(AND(C4="CONVENTIONAL SYSTEM",'PARTICIPATION RATES'!$D$10&gt;='MPLH COMPS'!$B$5,'PARTICIPATION RATES'!$D$10&lt;='MPLH COMPS'!$C$5),'MPLH COMPS'!$D$5&amp;" - "&amp;'MPLH COMPS'!$E$5,
IF(AND(C4="CONVENTIONAL SYSTEM",'PARTICIPATION RATES'!$D$10&gt;='MPLH COMPS'!$B$6,'PARTICIPATION RATES'!$D$10&lt;='MPLH COMPS'!$C$6),'MPLH COMPS'!$D$6&amp;" - "&amp;'MPLH COMPS'!$E$6,
IF(AND(C4="CONVENTIONAL SYSTEM",'PARTICIPATION RATES'!$D$10&gt;='MPLH COMPS'!$B$7,'PARTICIPATION RATES'!$D$10&lt;='MPLH COMPS'!$C$7),'MPLH COMPS'!$D$7&amp;" - "&amp;'MPLH COMPS'!$E$7,
IF(AND(C4="CONVENTIONAL SYSTEM",'PARTICIPATION RATES'!$D$10&gt;='MPLH COMPS'!$B$8,'PARTICIPATION RATES'!$D$10&lt;='MPLH COMPS'!$C$8),'MPLH COMPS'!$D$8&amp;" - "&amp;'MPLH COMPS'!$E$8,
IF(AND(C4="CONVENTIONAL SYSTEM",'PARTICIPATION RATES'!$D$10&gt;='MPLH COMPS'!$B$9,'PARTICIPATION RATES'!$D$10&lt;='MPLH COMPS'!$C$9),'MPLH COMPS'!$D$9&amp;" - "&amp;'MPLH COMPS'!$E$9,
IF(AND(C4="CONVENTIONAL SYSTEM",'PARTICIPATION RATES'!$D$10&gt;='MPLH COMPS'!$B$10,'PARTICIPATION RATES'!$D$10&lt;='MPLH COMPS'!$C$10),'MPLH COMPS'!$D$10&amp;" - "&amp;'MPLH COMPS'!$E$10,
IF(AND(C4="CONVENTIONAL SYSTEM",'PARTICIPATION RATES'!$D$10&gt;='MPLH COMPS'!$B$11,'PARTICIPATION RATES'!$D$10&lt;='MPLH COMPS'!$C$11),'MPLH COMPS'!$D$11&amp;" - "&amp;'MPLH COMPS'!$E$11,
IF(AND(C4="CONVENTIONAL SYSTEM",'PARTICIPATION RATES'!$D$10&gt;='MPLH COMPS'!$B$12,'PARTICIPATION RATES'!$D$10&lt;='MPLH COMPS'!$C$12),'MPLH COMPS'!$D$12&amp;" - "&amp;'MPLH COMPS'!$E$12,
IF(AND(C4="CONVENTIONAL SYSTEM",'PARTICIPATION RATES'!$D$10&gt;='MPLH COMPS'!$B$13,'PARTICIPATION RATES'!$D$10&lt;='MPLH COMPS'!$C$13),'MPLH COMPS'!$D$13&amp;" - "&amp;'MPLH COMPS'!$E$13,
IF(AND(C4="CONVENIENCE SYSTEM",'PARTICIPATION RATES'!$D$10&gt;='MPLH COMPS'!$B$3,'PARTICIPATION RATES'!$D$10&lt;='MPLH COMPS'!$C$3),'MPLH COMPS'!$F$3&amp;" - "&amp;'MPLH COMPS'!$G$3,
IF(AND(C4="CONVENIENCE SYSTEM",'PARTICIPATION RATES'!$D$10&gt;='MPLH COMPS'!$B$4,'PARTICIPATION RATES'!$D$10&lt;='MPLH COMPS'!$C$4),'MPLH COMPS'!$F$4&amp;" - "&amp;'MPLH COMPS'!$G$4,
IF(AND(C4="CONVENIENCE SYSTEM",'PARTICIPATION RATES'!$D$10&gt;='MPLH COMPS'!$B$5,'PARTICIPATION RATES'!$D$10&lt;='MPLH COMPS'!$C$5),'MPLH COMPS'!$F$5&amp;" - "&amp;'MPLH COMPS'!$G$5,
IF(AND(C4="CONVENIENCE SYSTEM",'PARTICIPATION RATES'!$D$10&gt;='MPLH COMPS'!$B$6,'PARTICIPATION RATES'!$D$10&lt;='MPLH COMPS'!$C$6),'MPLH COMPS'!$F$6&amp;" - "&amp;'MPLH COMPS'!$G$6,
IF(AND(C4="CONVENIENCE SYSTEM",'PARTICIPATION RATES'!$D$10&gt;='MPLH COMPS'!$B$7,'PARTICIPATION RATES'!$D$10&lt;='MPLH COMPS'!$C$7),'MPLH COMPS'!$F$7&amp;" - "&amp;'MPLH COMPS'!$G$7,
IF(AND(C4="CONVENIENCE SYSTEM",'PARTICIPATION RATES'!$D$10&gt;='MPLH COMPS'!$B$8,'PARTICIPATION RATES'!$D$10&lt;='MPLH COMPS'!$C$8),'MPLH COMPS'!$F$8&amp;" - "&amp;'MPLH COMPS'!$G$8,
IF(AND(C4="CONVENIENCE SYSTEM",'PARTICIPATION RATES'!$D$10&gt;='MPLH COMPS'!$B$9,'PARTICIPATION RATES'!$D$10&lt;='MPLH COMPS'!$C$9),'MPLH COMPS'!$F$9&amp;" - "&amp;'MPLH COMPS'!$G$9,
IF(AND(C4="CONVENIENCE SYSTEM",'PARTICIPATION RATES'!$D$10&gt;='MPLH COMPS'!$B$10,'PARTICIPATION RATES'!$D$10&lt;='MPLH COMPS'!$C$10),'MPLH COMPS'!$F$10&amp;" - "&amp;'MPLH COMPS'!$G$10,
IF(AND(C4="CONVENIENCE SYSTEM",'PARTICIPATION RATES'!$D$10&gt;='MPLH COMPS'!$B$11,'PARTICIPATION RATES'!$D$10&lt;='MPLH COMPS'!$C$11),'MPLH COMPS'!$F$11&amp;" - "&amp;'MPLH COMPS'!$G$11,
IF(AND(C4="CONVENIENCE SYSTEM",'PARTICIPATION RATES'!$D$10&gt;='MPLH COMPS'!$B$12,'PARTICIPATION RATES'!$D$10&lt;='MPLH COMPS'!$C$12),'MPLH COMPS'!$F$12&amp;" - "&amp;'MPLH COMPS'!$G$12,
IF(AND(C4="CONVENIENCE SYSTEM",'PARTICIPATION RATES'!$D$10&gt;='MPLH COMPS'!$B$13,'PARTICIPATION RATES'!$D$10&lt;='MPLH COMPS'!$C$13),'MPLH COMPS'!$F$13&amp;" - "&amp;'MPLH COMPS'!$G$13,
""))))))))))))))))))))))</f>
        <v/>
      </c>
      <c r="D7" s="85"/>
      <c r="E7" s="159" t="str">
        <f>IF(AND(E4="CONVENTIONAL SYSTEM",'PARTICIPATION RATES'!$F$10&gt;='MPLH COMPS'!$B$3,'PARTICIPATION RATES'!$F$10&lt;='MPLH COMPS'!$C$3),'MPLH COMPS'!$D$3&amp;" - "&amp;'MPLH COMPS'!$E$3,
IF(AND(E4="CONVENTIONAL SYSTEM",'PARTICIPATION RATES'!$F$10&gt;='MPLH COMPS'!$B$4,'PARTICIPATION RATES'!$F$10&lt;='MPLH COMPS'!$C$4),'MPLH COMPS'!$D$4&amp;" - "&amp;'MPLH COMPS'!$E$4,
IF(AND(E4="CONVENTIONAL SYSTEM",'PARTICIPATION RATES'!$F$10&gt;='MPLH COMPS'!$B$5,'PARTICIPATION RATES'!$F$10&lt;='MPLH COMPS'!$C$5),'MPLH COMPS'!$D$5&amp;" - "&amp;'MPLH COMPS'!$E$5,
IF(AND(E4="CONVENTIONAL SYSTEM",'PARTICIPATION RATES'!$F$10&gt;='MPLH COMPS'!$B$6,'PARTICIPATION RATES'!$F$10&lt;='MPLH COMPS'!$C$6),'MPLH COMPS'!$D$6&amp;" - "&amp;'MPLH COMPS'!$E$6,
IF(AND(E4="CONVENTIONAL SYSTEM",'PARTICIPATION RATES'!$F$10&gt;='MPLH COMPS'!$B$7,'PARTICIPATION RATES'!$F$10&lt;='MPLH COMPS'!$C$7),'MPLH COMPS'!$D$7&amp;" - "&amp;'MPLH COMPS'!$E$7,
IF(AND(E4="CONVENTIONAL SYSTEM",'PARTICIPATION RATES'!$F$10&gt;='MPLH COMPS'!$B$8,'PARTICIPATION RATES'!$F$10&lt;='MPLH COMPS'!$C$8),'MPLH COMPS'!$D$8&amp;" - "&amp;'MPLH COMPS'!$E$8,
IF(AND(E4="CONVENTIONAL SYSTEM",'PARTICIPATION RATES'!$F$10&gt;='MPLH COMPS'!$B$9,'PARTICIPATION RATES'!$F$10&lt;='MPLH COMPS'!$C$9),'MPLH COMPS'!$D$9&amp;" - "&amp;'MPLH COMPS'!$E$9,
IF(AND(E4="CONVENTIONAL SYSTEM",'PARTICIPATION RATES'!$F$10&gt;='MPLH COMPS'!$B$10,'PARTICIPATION RATES'!$F$10&lt;='MPLH COMPS'!$C$10),'MPLH COMPS'!$D$10&amp;" - "&amp;'MPLH COMPS'!$E$10,
IF(AND(E4="CONVENTIONAL SYSTEM",'PARTICIPATION RATES'!$F$10&gt;='MPLH COMPS'!$B$11,'PARTICIPATION RATES'!$F$10&lt;='MPLH COMPS'!$C$11),'MPLH COMPS'!$D$11&amp;" - "&amp;'MPLH COMPS'!$E$11,
IF(AND(E4="CONVENTIONAL SYSTEM",'PARTICIPATION RATES'!$F$10&gt;='MPLH COMPS'!$B$12,'PARTICIPATION RATES'!$F$10&lt;='MPLH COMPS'!$C$12),'MPLH COMPS'!$D$12&amp;" - "&amp;'MPLH COMPS'!$E$12,
IF(AND(E4="CONVENTIONAL SYSTEM",'PARTICIPATION RATES'!$F$10&gt;='MPLH COMPS'!$B$13,'PARTICIPATION RATES'!$F$10&lt;='MPLH COMPS'!$C$13),'MPLH COMPS'!$D$13&amp;" - "&amp;'MPLH COMPS'!$E$13,
IF(AND(E4="CONVENIENCE SYSTEM",'PARTICIPATION RATES'!$F$10&gt;='MPLH COMPS'!$B$3,'PARTICIPATION RATES'!$F$10&lt;='MPLH COMPS'!$C$3),'MPLH COMPS'!$F$3&amp;" - "&amp;'MPLH COMPS'!$G$3,
IF(AND(E4="CONVENIENCE SYSTEM",'PARTICIPATION RATES'!$F$10&gt;='MPLH COMPS'!$B$4,'PARTICIPATION RATES'!$F$10&lt;='MPLH COMPS'!$C$4),'MPLH COMPS'!$F$4&amp;" - "&amp;'MPLH COMPS'!$G$4,
IF(AND(E4="CONVENIENCE SYSTEM",'PARTICIPATION RATES'!$F$10&gt;='MPLH COMPS'!$B$5,'PARTICIPATION RATES'!$F$10&lt;='MPLH COMPS'!$C$5),'MPLH COMPS'!$F$5&amp;" - "&amp;'MPLH COMPS'!$G$5,
IF(AND(E4="CONVENIENCE SYSTEM",'PARTICIPATION RATES'!$F$10&gt;='MPLH COMPS'!$B$6,'PARTICIPATION RATES'!$F$10&lt;='MPLH COMPS'!$C$6),'MPLH COMPS'!$F$6&amp;" - "&amp;'MPLH COMPS'!$G$6,
IF(AND(E4="CONVENIENCE SYSTEM",'PARTICIPATION RATES'!$F$10&gt;='MPLH COMPS'!$B$7,'PARTICIPATION RATES'!$F$10&lt;='MPLH COMPS'!$C$7),'MPLH COMPS'!$F$7&amp;" - "&amp;'MPLH COMPS'!$G$7,
IF(AND(E4="CONVENIENCE SYSTEM",'PARTICIPATION RATES'!$F$10&gt;='MPLH COMPS'!$B$8,'PARTICIPATION RATES'!$F$10&lt;='MPLH COMPS'!$C$8),'MPLH COMPS'!$F$8&amp;" - "&amp;'MPLH COMPS'!$G$8,
IF(AND(E4="CONVENIENCE SYSTEM",'PARTICIPATION RATES'!$F$10&gt;='MPLH COMPS'!$B$9,'PARTICIPATION RATES'!$F$10&lt;='MPLH COMPS'!$C$9),'MPLH COMPS'!$F$9&amp;" - "&amp;'MPLH COMPS'!$G$9,
IF(AND(E4="CONVENIENCE SYSTEM",'PARTICIPATION RATES'!$F$10&gt;='MPLH COMPS'!$B$10,'PARTICIPATION RATES'!$F$10&lt;='MPLH COMPS'!$C$10),'MPLH COMPS'!$F$10&amp;" - "&amp;'MPLH COMPS'!$G$10,
IF(AND(E4="CONVENIENCE SYSTEM",'PARTICIPATION RATES'!$F$10&gt;='MPLH COMPS'!$B$11,'PARTICIPATION RATES'!$F$10&lt;='MPLH COMPS'!$C$11),'MPLH COMPS'!$F$11&amp;" - "&amp;'MPLH COMPS'!$G$11,
IF(AND(E4="CONVENIENCE SYSTEM",'PARTICIPATION RATES'!$F$10&gt;='MPLH COMPS'!$B$12,'PARTICIPATION RATES'!$F$10&lt;='MPLH COMPS'!$C$12),'MPLH COMPS'!$F$12&amp;" - "&amp;'MPLH COMPS'!$G$12,
IF(AND(E4="CONVENIENCE SYSTEM",'PARTICIPATION RATES'!$F$10&gt;='MPLH COMPS'!$B$13,'PARTICIPATION RATES'!$F$10&lt;='MPLH COMPS'!$C$13),'MPLH COMPS'!$F$13&amp;" - "&amp;'MPLH COMPS'!$G$13,
""))))))))))))))))))))))</f>
        <v/>
      </c>
      <c r="F7" s="160" t="str">
        <f>IF(AND(F4="CONVENTIONAL SYSTEM",'PARTICIPATION RATES'!$G$10&gt;='MPLH COMPS'!$B$3,'PARTICIPATION RATES'!$G$10&lt;='MPLH COMPS'!$C$3),'MPLH COMPS'!$D$3&amp;" - "&amp;'MPLH COMPS'!$E$3,
IF(AND(F4="CONVENTIONAL SYSTEM",'PARTICIPATION RATES'!$G$10&gt;='MPLH COMPS'!$B$4,'PARTICIPATION RATES'!$G$10&lt;='MPLH COMPS'!$C$4),'MPLH COMPS'!$D$4&amp;" - "&amp;'MPLH COMPS'!$E$4,
IF(AND(F4="CONVENTIONAL SYSTEM",'PARTICIPATION RATES'!$G$10&gt;='MPLH COMPS'!$B$5,'PARTICIPATION RATES'!$G$10&lt;='MPLH COMPS'!$C$5),'MPLH COMPS'!$D$5&amp;" - "&amp;'MPLH COMPS'!$E$5,
IF(AND(F4="CONVENTIONAL SYSTEM",'PARTICIPATION RATES'!$G$10&gt;='MPLH COMPS'!$B$6,'PARTICIPATION RATES'!$G$10&lt;='MPLH COMPS'!$C$6),'MPLH COMPS'!$D$6&amp;" - "&amp;'MPLH COMPS'!$E$6,
IF(AND(F4="CONVENTIONAL SYSTEM",'PARTICIPATION RATES'!$G$10&gt;='MPLH COMPS'!$B$7,'PARTICIPATION RATES'!$G$10&lt;='MPLH COMPS'!$C$7),'MPLH COMPS'!$D$7&amp;" - "&amp;'MPLH COMPS'!$E$7,
IF(AND(F4="CONVENTIONAL SYSTEM",'PARTICIPATION RATES'!$G$10&gt;='MPLH COMPS'!$B$8,'PARTICIPATION RATES'!$G$10&lt;='MPLH COMPS'!$C$8),'MPLH COMPS'!$D$8&amp;" - "&amp;'MPLH COMPS'!$E$8,
IF(AND(F4="CONVENTIONAL SYSTEM",'PARTICIPATION RATES'!$G$10&gt;='MPLH COMPS'!$B$9,'PARTICIPATION RATES'!$G$10&lt;='MPLH COMPS'!$C$9),'MPLH COMPS'!$D$9&amp;" - "&amp;'MPLH COMPS'!$E$9,
IF(AND(F4="CONVENTIONAL SYSTEM",'PARTICIPATION RATES'!$G$10&gt;='MPLH COMPS'!$B$10,'PARTICIPATION RATES'!$G$10&lt;='MPLH COMPS'!$C$10),'MPLH COMPS'!$D$10&amp;" - "&amp;'MPLH COMPS'!$E$10,
IF(AND(F4="CONVENTIONAL SYSTEM",'PARTICIPATION RATES'!$G$10&gt;='MPLH COMPS'!$B$11,'PARTICIPATION RATES'!$G$10&lt;='MPLH COMPS'!$C$11),'MPLH COMPS'!$D$11&amp;" - "&amp;'MPLH COMPS'!$E$11,
IF(AND(F4="CONVENTIONAL SYSTEM",'PARTICIPATION RATES'!$G$10&gt;='MPLH COMPS'!$B$12,'PARTICIPATION RATES'!$G$10&lt;='MPLH COMPS'!$C$12),'MPLH COMPS'!$D$12&amp;" - "&amp;'MPLH COMPS'!$E$12,
IF(AND(F4="CONVENTIONAL SYSTEM",'PARTICIPATION RATES'!$G$10&gt;='MPLH COMPS'!$B$13,'PARTICIPATION RATES'!$G$10&lt;='MPLH COMPS'!$C$13),'MPLH COMPS'!$D$13&amp;" - "&amp;'MPLH COMPS'!$E$13,
IF(AND(F4="CONVENIENCE SYSTEM",'PARTICIPATION RATES'!$G$10&gt;='MPLH COMPS'!$B$3,'PARTICIPATION RATES'!$G$10&lt;='MPLH COMPS'!$C$3),'MPLH COMPS'!$F$3&amp;" - "&amp;'MPLH COMPS'!$G$3,
IF(AND(F4="CONVENIENCE SYSTEM",'PARTICIPATION RATES'!$G$10&gt;='MPLH COMPS'!$B$4,'PARTICIPATION RATES'!$G$10&lt;='MPLH COMPS'!$C$4),'MPLH COMPS'!$F$4&amp;" - "&amp;'MPLH COMPS'!$G$4,
IF(AND(F4="CONVENIENCE SYSTEM",'PARTICIPATION RATES'!$G$10&gt;='MPLH COMPS'!$B$5,'PARTICIPATION RATES'!$G$10&lt;='MPLH COMPS'!$C$5),'MPLH COMPS'!$F$5&amp;" - "&amp;'MPLH COMPS'!$G$5,
IF(AND(F4="CONVENIENCE SYSTEM",'PARTICIPATION RATES'!$G$10&gt;='MPLH COMPS'!$B$6,'PARTICIPATION RATES'!$G$10&lt;='MPLH COMPS'!$C$6),'MPLH COMPS'!$F$6&amp;" - "&amp;'MPLH COMPS'!$G$6,
IF(AND(F4="CONVENIENCE SYSTEM",'PARTICIPATION RATES'!$G$10&gt;='MPLH COMPS'!$B$7,'PARTICIPATION RATES'!$G$10&lt;='MPLH COMPS'!$C$7),'MPLH COMPS'!$F$7&amp;" - "&amp;'MPLH COMPS'!$G$7,
IF(AND(F4="CONVENIENCE SYSTEM",'PARTICIPATION RATES'!$G$10&gt;='MPLH COMPS'!$B$8,'PARTICIPATION RATES'!$G$10&lt;='MPLH COMPS'!$C$8),'MPLH COMPS'!$F$8&amp;" - "&amp;'MPLH COMPS'!$G$8,
IF(AND(F4="CONVENIENCE SYSTEM",'PARTICIPATION RATES'!$G$10&gt;='MPLH COMPS'!$B$9,'PARTICIPATION RATES'!$G$10&lt;='MPLH COMPS'!$C$9),'MPLH COMPS'!$F$9&amp;" - "&amp;'MPLH COMPS'!$G$9,
IF(AND(F4="CONVENIENCE SYSTEM",'PARTICIPATION RATES'!$G$10&gt;='MPLH COMPS'!$B$10,'PARTICIPATION RATES'!$G$10&lt;='MPLH COMPS'!$C$10),'MPLH COMPS'!$F$10&amp;" - "&amp;'MPLH COMPS'!$G$10,
IF(AND(F4="CONVENIENCE SYSTEM",'PARTICIPATION RATES'!$G$10&gt;='MPLH COMPS'!$B$11,'PARTICIPATION RATES'!$G$10&lt;='MPLH COMPS'!$C$11),'MPLH COMPS'!$F$11&amp;" - "&amp;'MPLH COMPS'!$G$11,
IF(AND(F4="CONVENIENCE SYSTEM",'PARTICIPATION RATES'!$G$10&gt;='MPLH COMPS'!$B$12,'PARTICIPATION RATES'!$G$10&lt;='MPLH COMPS'!$C$12),'MPLH COMPS'!$F$12&amp;" - "&amp;'MPLH COMPS'!$G$12,
IF(AND(F4="CONVENIENCE SYSTEM",'PARTICIPATION RATES'!$G$10&gt;='MPLH COMPS'!$B$13,'PARTICIPATION RATES'!$G$10&lt;='MPLH COMPS'!$C$13),'MPLH COMPS'!$F$13&amp;" - "&amp;'MPLH COMPS'!$G$13,
""))))))))))))))))))))))</f>
        <v/>
      </c>
      <c r="H7" s="65" t="s">
        <v>34</v>
      </c>
      <c r="I7" s="279" t="str">
        <f>IF(AND(I4="CONVENTIONAL SYSTEM",'PARTICIPATION RATES'!$D$20&gt;='MPLH COMPS'!$B$3,'PARTICIPATION RATES'!$D$20&lt;='MPLH COMPS'!$C$3),'MPLH COMPS'!$D$3&amp;" - "&amp;'MPLH COMPS'!$E$3,
IF(AND(I4="CONVENTIONAL SYSTEM",'PARTICIPATION RATES'!$D$20&gt;='MPLH COMPS'!$B$4,'PARTICIPATION RATES'!$D$20&lt;='MPLH COMPS'!$C$4),'MPLH COMPS'!$D$4&amp;" - "&amp;'MPLH COMPS'!$E$4,
IF(AND(I4="CONVENTIONAL SYSTEM",'PARTICIPATION RATES'!$D$20&gt;='MPLH COMPS'!$B$5,'PARTICIPATION RATES'!$D$20&lt;='MPLH COMPS'!$C$5),'MPLH COMPS'!$D$5&amp;" - "&amp;'MPLH COMPS'!$E$5,
IF(AND(I4="CONVENTIONAL SYSTEM",'PARTICIPATION RATES'!$D$20&gt;='MPLH COMPS'!$B$6,'PARTICIPATION RATES'!$D$20&lt;='MPLH COMPS'!$C$6),'MPLH COMPS'!$D$6&amp;" - "&amp;'MPLH COMPS'!$E$6,
IF(AND(I4="CONVENTIONAL SYSTEM",'PARTICIPATION RATES'!$D$20&gt;='MPLH COMPS'!$B$7,'PARTICIPATION RATES'!$D$20&lt;='MPLH COMPS'!$C$7),'MPLH COMPS'!$D$7&amp;" - "&amp;'MPLH COMPS'!$E$7,
IF(AND(I4="CONVENTIONAL SYSTEM",'PARTICIPATION RATES'!$D$20&gt;='MPLH COMPS'!$B$8,'PARTICIPATION RATES'!$D$20&lt;='MPLH COMPS'!$C$8),'MPLH COMPS'!$D$8&amp;" - "&amp;'MPLH COMPS'!$E$8,
IF(AND(I4="CONVENTIONAL SYSTEM",'PARTICIPATION RATES'!$D$20&gt;='MPLH COMPS'!$B$9,'PARTICIPATION RATES'!$D$20&lt;='MPLH COMPS'!$C$9),'MPLH COMPS'!$D$9&amp;" - "&amp;'MPLH COMPS'!$E$9,
IF(AND(I4="CONVENTIONAL SYSTEM",'PARTICIPATION RATES'!$D$20&gt;='MPLH COMPS'!$B$10,'PARTICIPATION RATES'!$D$20&lt;='MPLH COMPS'!$C$10),'MPLH COMPS'!$D$10&amp;" - "&amp;'MPLH COMPS'!$E$10,
IF(AND(I4="CONVENTIONAL SYSTEM",'PARTICIPATION RATES'!$D$20&gt;='MPLH COMPS'!$B$11,'PARTICIPATION RATES'!$D$20&lt;='MPLH COMPS'!$C$11),'MPLH COMPS'!$D$11&amp;" - "&amp;'MPLH COMPS'!$E$11,
IF(AND(I4="CONVENTIONAL SYSTEM",'PARTICIPATION RATES'!$D$20&gt;='MPLH COMPS'!$B$12,'PARTICIPATION RATES'!$D$20&lt;='MPLH COMPS'!$C$12),'MPLH COMPS'!$D$12&amp;" - "&amp;'MPLH COMPS'!$E$12,
IF(AND(I4="CONVENTIONAL SYSTEM",'PARTICIPATION RATES'!$D$20&gt;='MPLH COMPS'!$B$13,'PARTICIPATION RATES'!$D$20&lt;='MPLH COMPS'!$C$13),'MPLH COMPS'!$D$13&amp;" - "&amp;'MPLH COMPS'!$E$13,
IF(AND(I4="CONVENIENCE SYSTEM",'PARTICIPATION RATES'!$D$20&gt;='MPLH COMPS'!$B$3,'PARTICIPATION RATES'!$D$20&lt;='MPLH COMPS'!$C$3),'MPLH COMPS'!$F$3&amp;" - "&amp;'MPLH COMPS'!$G$3,
IF(AND(I4="CONVENIENCE SYSTEM",'PARTICIPATION RATES'!$D$20&gt;='MPLH COMPS'!$B$4,'PARTICIPATION RATES'!$D$20&lt;='MPLH COMPS'!$C$4),'MPLH COMPS'!$F$4&amp;" - "&amp;'MPLH COMPS'!$G$4,
IF(AND(I4="CONVENIENCE SYSTEM",'PARTICIPATION RATES'!$D$20&gt;='MPLH COMPS'!$B$5,'PARTICIPATION RATES'!$D$20&lt;='MPLH COMPS'!$C$5),'MPLH COMPS'!$F$5&amp;" - "&amp;'MPLH COMPS'!$G$5,
IF(AND(I4="CONVENIENCE SYSTEM",'PARTICIPATION RATES'!$D$20&gt;='MPLH COMPS'!$B$6,'PARTICIPATION RATES'!$D$20&lt;='MPLH COMPS'!$C$6),'MPLH COMPS'!$F$6&amp;" - "&amp;'MPLH COMPS'!$G$6,
IF(AND(I4="CONVENIENCE SYSTEM",'PARTICIPATION RATES'!$D$20&gt;='MPLH COMPS'!$B$7,'PARTICIPATION RATES'!$D$20&lt;='MPLH COMPS'!$C$7),'MPLH COMPS'!$F$7&amp;" - "&amp;'MPLH COMPS'!$G$7,
IF(AND(I4="CONVENIENCE SYSTEM",'PARTICIPATION RATES'!$D$20&gt;='MPLH COMPS'!$B$8,'PARTICIPATION RATES'!$D$20&lt;='MPLH COMPS'!$C$8),'MPLH COMPS'!$F$8&amp;" - "&amp;'MPLH COMPS'!$G$8,
IF(AND(I4="CONVENIENCE SYSTEM",'PARTICIPATION RATES'!$D$20&gt;='MPLH COMPS'!$B$9,'PARTICIPATION RATES'!$D$20&lt;='MPLH COMPS'!$C$9),'MPLH COMPS'!$F$9&amp;" - "&amp;'MPLH COMPS'!$G$9,
IF(AND(I4="CONVENIENCE SYSTEM",'PARTICIPATION RATES'!$D$20&gt;='MPLH COMPS'!$B$10,'PARTICIPATION RATES'!$D$20&lt;='MPLH COMPS'!$C$10),'MPLH COMPS'!$F$10&amp;" - "&amp;'MPLH COMPS'!$G$10,
IF(AND(I4="CONVENIENCE SYSTEM",'PARTICIPATION RATES'!$D$20&gt;='MPLH COMPS'!$B$11,'PARTICIPATION RATES'!$D$20&lt;='MPLH COMPS'!$C$11),'MPLH COMPS'!$F$11&amp;" - "&amp;'MPLH COMPS'!$G$11,
IF(AND(I4="CONVENIENCE SYSTEM",'PARTICIPATION RATES'!$D$20&gt;='MPLH COMPS'!$B$12,'PARTICIPATION RATES'!$D$20&lt;='MPLH COMPS'!$C$12),'MPLH COMPS'!$F$12&amp;" - "&amp;'MPLH COMPS'!$G$12,
IF(AND(I4="CONVENIENCE SYSTEM",'PARTICIPATION RATES'!$D$20&gt;='MPLH COMPS'!$B$13,'PARTICIPATION RATES'!$D$20&lt;='MPLH COMPS'!$C$13),'MPLH COMPS'!$F$13&amp;" - "&amp;'MPLH COMPS'!$G$13,
""))))))))))))))))))))))</f>
        <v/>
      </c>
      <c r="J7" s="280"/>
      <c r="K7" s="281" t="str">
        <f>IF(AND(K4="CONVENTIONAL SYSTEM",'PARTICIPATION RATES'!$F$20&gt;='MPLH COMPS'!$B$3,'PARTICIPATION RATES'!$F$20&lt;='MPLH COMPS'!$C$3),'MPLH COMPS'!$D$3&amp;" - "&amp;'MPLH COMPS'!$E$3,
IF(AND(K4="CONVENTIONAL SYSTEM",'PARTICIPATION RATES'!$F$20&gt;='MPLH COMPS'!$B$4,'PARTICIPATION RATES'!$F$20&lt;='MPLH COMPS'!$C$4),'MPLH COMPS'!$D$4&amp;" - "&amp;'MPLH COMPS'!$E$4,
IF(AND(K4="CONVENTIONAL SYSTEM",'PARTICIPATION RATES'!$F$20&gt;='MPLH COMPS'!$B$5,'PARTICIPATION RATES'!$F$20&lt;='MPLH COMPS'!$C$5),'MPLH COMPS'!$D$5&amp;" - "&amp;'MPLH COMPS'!$E$5,
IF(AND(K4="CONVENTIONAL SYSTEM",'PARTICIPATION RATES'!$F$20&gt;='MPLH COMPS'!$B$6,'PARTICIPATION RATES'!$F$20&lt;='MPLH COMPS'!$C$6),'MPLH COMPS'!$D$6&amp;" - "&amp;'MPLH COMPS'!$E$6,
IF(AND(K4="CONVENTIONAL SYSTEM",'PARTICIPATION RATES'!$F$20&gt;='MPLH COMPS'!$B$7,'PARTICIPATION RATES'!$F$20&lt;='MPLH COMPS'!$C$7),'MPLH COMPS'!$D$7&amp;" - "&amp;'MPLH COMPS'!$E$7,
IF(AND(K4="CONVENTIONAL SYSTEM",'PARTICIPATION RATES'!$F$20&gt;='MPLH COMPS'!$B$8,'PARTICIPATION RATES'!$F$20&lt;='MPLH COMPS'!$C$8),'MPLH COMPS'!$D$8&amp;" - "&amp;'MPLH COMPS'!$E$8,
IF(AND(K4="CONVENTIONAL SYSTEM",'PARTICIPATION RATES'!$F$20&gt;='MPLH COMPS'!$B$9,'PARTICIPATION RATES'!$F$20&lt;='MPLH COMPS'!$C$9),'MPLH COMPS'!$D$9&amp;" - "&amp;'MPLH COMPS'!$E$9,
IF(AND(K4="CONVENTIONAL SYSTEM",'PARTICIPATION RATES'!$F$20&gt;='MPLH COMPS'!$B$10,'PARTICIPATION RATES'!$F$20&lt;='MPLH COMPS'!$C$10),'MPLH COMPS'!$D$10&amp;" - "&amp;'MPLH COMPS'!$E$10,
IF(AND(K4="CONVENTIONAL SYSTEM",'PARTICIPATION RATES'!$F$20&gt;='MPLH COMPS'!$B$11,'PARTICIPATION RATES'!$F$20&lt;='MPLH COMPS'!$C$11),'MPLH COMPS'!$D$11&amp;" - "&amp;'MPLH COMPS'!$E$11,
IF(AND(K4="CONVENTIONAL SYSTEM",'PARTICIPATION RATES'!$F$20&gt;='MPLH COMPS'!$B$12,'PARTICIPATION RATES'!$F$20&lt;='MPLH COMPS'!$C$12),'MPLH COMPS'!$D$12&amp;" - "&amp;'MPLH COMPS'!$E$12,
IF(AND(K4="CONVENTIONAL SYSTEM",'PARTICIPATION RATES'!$F$20&gt;='MPLH COMPS'!$B$13,'PARTICIPATION RATES'!$F$20&lt;='MPLH COMPS'!$C$13),'MPLH COMPS'!$D$13&amp;" - "&amp;'MPLH COMPS'!$E$13,
IF(AND(K4="CONVENIENCE SYSTEM",'PARTICIPATION RATES'!$F$20&gt;='MPLH COMPS'!$B$3,'PARTICIPATION RATES'!$F$20&lt;='MPLH COMPS'!$C$3),'MPLH COMPS'!$F$3&amp;" - "&amp;'MPLH COMPS'!$G$3,
IF(AND(K4="CONVENIENCE SYSTEM",'PARTICIPATION RATES'!$F$20&gt;='MPLH COMPS'!$B$4,'PARTICIPATION RATES'!$F$20&lt;='MPLH COMPS'!$C$4),'MPLH COMPS'!$F$4&amp;" - "&amp;'MPLH COMPS'!$G$4,
IF(AND(K4="CONVENIENCE SYSTEM",'PARTICIPATION RATES'!$F$20&gt;='MPLH COMPS'!$B$5,'PARTICIPATION RATES'!$F$20&lt;='MPLH COMPS'!$C$5),'MPLH COMPS'!$F$5&amp;" - "&amp;'MPLH COMPS'!$G$5,
IF(AND(K4="CONVENIENCE SYSTEM",'PARTICIPATION RATES'!$F$20&gt;='MPLH COMPS'!$B$6,'PARTICIPATION RATES'!$F$20&lt;='MPLH COMPS'!$C$6),'MPLH COMPS'!$F$6&amp;" - "&amp;'MPLH COMPS'!$G$6,
IF(AND(K4="CONVENIENCE SYSTEM",'PARTICIPATION RATES'!$F$20&gt;='MPLH COMPS'!$B$7,'PARTICIPATION RATES'!$F$20&lt;='MPLH COMPS'!$C$7),'MPLH COMPS'!$F$7&amp;" - "&amp;'MPLH COMPS'!$G$7,
IF(AND(K4="CONVENIENCE SYSTEM",'PARTICIPATION RATES'!$F$20&gt;='MPLH COMPS'!$B$8,'PARTICIPATION RATES'!$F$20&lt;='MPLH COMPS'!$C$8),'MPLH COMPS'!$F$8&amp;" - "&amp;'MPLH COMPS'!$G$8,
IF(AND(K4="CONVENIENCE SYSTEM",'PARTICIPATION RATES'!$F$20&gt;='MPLH COMPS'!$B$9,'PARTICIPATION RATES'!$F$20&lt;='MPLH COMPS'!$C$9),'MPLH COMPS'!$F$9&amp;" - "&amp;'MPLH COMPS'!$G$9,
IF(AND(K4="CONVENIENCE SYSTEM",'PARTICIPATION RATES'!$F$20&gt;='MPLH COMPS'!$B$10,'PARTICIPATION RATES'!$F$20&lt;='MPLH COMPS'!$C$10),'MPLH COMPS'!$F$10&amp;" - "&amp;'MPLH COMPS'!$G$10,
IF(AND(K4="CONVENIENCE SYSTEM",'PARTICIPATION RATES'!$F$20&gt;='MPLH COMPS'!$B$11,'PARTICIPATION RATES'!$F$20&lt;='MPLH COMPS'!$C$11),'MPLH COMPS'!$F$11&amp;" - "&amp;'MPLH COMPS'!$G$11,
IF(AND(K4="CONVENIENCE SYSTEM",'PARTICIPATION RATES'!$F$20&gt;='MPLH COMPS'!$B$12,'PARTICIPATION RATES'!$F$20&lt;='MPLH COMPS'!$C$12),'MPLH COMPS'!$F$12&amp;" - "&amp;'MPLH COMPS'!$G$12,
IF(AND(K4="CONVENIENCE SYSTEM",'PARTICIPATION RATES'!$F$20&gt;='MPLH COMPS'!$B$13,'PARTICIPATION RATES'!$F$20&lt;='MPLH COMPS'!$C$13),'MPLH COMPS'!$F$13&amp;" - "&amp;'MPLH COMPS'!$G$13,
""))))))))))))))))))))))</f>
        <v/>
      </c>
      <c r="L7" s="282" t="str">
        <f>IF(AND(L4="CONVENTIONAL SYSTEM",'PARTICIPATION RATES'!$G$20&gt;='MPLH COMPS'!$B$3,'PARTICIPATION RATES'!$G$20&lt;='MPLH COMPS'!$C$3),'MPLH COMPS'!$D$3&amp;" - "&amp;'MPLH COMPS'!$E$3,
IF(AND(L4="CONVENTIONAL SYSTEM",'PARTICIPATION RATES'!$G$20&gt;='MPLH COMPS'!$B$4,'PARTICIPATION RATES'!$G$20&lt;='MPLH COMPS'!$C$4),'MPLH COMPS'!$D$4&amp;" - "&amp;'MPLH COMPS'!$E$4,
IF(AND(L4="CONVENTIONAL SYSTEM",'PARTICIPATION RATES'!$G$20&gt;='MPLH COMPS'!$B$5,'PARTICIPATION RATES'!$G$20&lt;='MPLH COMPS'!$C$5),'MPLH COMPS'!$D$5&amp;" - "&amp;'MPLH COMPS'!$E$5,
IF(AND(L4="CONVENTIONAL SYSTEM",'PARTICIPATION RATES'!$G$20&gt;='MPLH COMPS'!$B$6,'PARTICIPATION RATES'!$G$20&lt;='MPLH COMPS'!$C$6),'MPLH COMPS'!$D$6&amp;" - "&amp;'MPLH COMPS'!$E$6,
IF(AND(L4="CONVENTIONAL SYSTEM",'PARTICIPATION RATES'!$G$20&gt;='MPLH COMPS'!$B$7,'PARTICIPATION RATES'!$G$20&lt;='MPLH COMPS'!$C$7),'MPLH COMPS'!$D$7&amp;" - "&amp;'MPLH COMPS'!$E$7,
IF(AND(L4="CONVENTIONAL SYSTEM",'PARTICIPATION RATES'!$G$20&gt;='MPLH COMPS'!$B$8,'PARTICIPATION RATES'!$G$20&lt;='MPLH COMPS'!$C$8),'MPLH COMPS'!$D$8&amp;" - "&amp;'MPLH COMPS'!$E$8,
IF(AND(L4="CONVENTIONAL SYSTEM",'PARTICIPATION RATES'!$G$20&gt;='MPLH COMPS'!$B$9,'PARTICIPATION RATES'!$G$20&lt;='MPLH COMPS'!$C$9),'MPLH COMPS'!$D$9&amp;" - "&amp;'MPLH COMPS'!$E$9,
IF(AND(L4="CONVENTIONAL SYSTEM",'PARTICIPATION RATES'!$G$20&gt;='MPLH COMPS'!$B$10,'PARTICIPATION RATES'!$G$20&lt;='MPLH COMPS'!$C$10),'MPLH COMPS'!$D$10&amp;" - "&amp;'MPLH COMPS'!$E$10,
IF(AND(L4="CONVENTIONAL SYSTEM",'PARTICIPATION RATES'!$G$20&gt;='MPLH COMPS'!$B$11,'PARTICIPATION RATES'!$G$20&lt;='MPLH COMPS'!$C$11),'MPLH COMPS'!$D$11&amp;" - "&amp;'MPLH COMPS'!$E$11,
IF(AND(L4="CONVENTIONAL SYSTEM",'PARTICIPATION RATES'!$G$20&gt;='MPLH COMPS'!$B$12,'PARTICIPATION RATES'!$G$20&lt;='MPLH COMPS'!$C$12),'MPLH COMPS'!$D$12&amp;" - "&amp;'MPLH COMPS'!$E$12,
IF(AND(L4="CONVENTIONAL SYSTEM",'PARTICIPATION RATES'!$G$20&gt;='MPLH COMPS'!$B$13,'PARTICIPATION RATES'!$G$20&lt;='MPLH COMPS'!$C$13),'MPLH COMPS'!$D$13&amp;" - "&amp;'MPLH COMPS'!$E$13,
IF(AND(L4="CONVENIENCE SYSTEM",'PARTICIPATION RATES'!$G$20&gt;='MPLH COMPS'!$B$3,'PARTICIPATION RATES'!$G$20&lt;='MPLH COMPS'!$C$3),'MPLH COMPS'!$F$3&amp;" - "&amp;'MPLH COMPS'!$G$3,
IF(AND(L4="CONVENIENCE SYSTEM",'PARTICIPATION RATES'!$G$20&gt;='MPLH COMPS'!$B$4,'PARTICIPATION RATES'!$G$20&lt;='MPLH COMPS'!$C$4),'MPLH COMPS'!$F$4&amp;" - "&amp;'MPLH COMPS'!$G$4,
IF(AND(L4="CONVENIENCE SYSTEM",'PARTICIPATION RATES'!$G$20&gt;='MPLH COMPS'!$B$5,'PARTICIPATION RATES'!$G$20&lt;='MPLH COMPS'!$C$5),'MPLH COMPS'!$F$5&amp;" - "&amp;'MPLH COMPS'!$G$5,
IF(AND(L4="CONVENIENCE SYSTEM",'PARTICIPATION RATES'!$G$20&gt;='MPLH COMPS'!$B$6,'PARTICIPATION RATES'!$G$20&lt;='MPLH COMPS'!$C$6),'MPLH COMPS'!$F$6&amp;" - "&amp;'MPLH COMPS'!$G$6,
IF(AND(L4="CONVENIENCE SYSTEM",'PARTICIPATION RATES'!$G$20&gt;='MPLH COMPS'!$B$7,'PARTICIPATION RATES'!$G$20&lt;='MPLH COMPS'!$C$7),'MPLH COMPS'!$F$7&amp;" - "&amp;'MPLH COMPS'!$G$7,
IF(AND(L4="CONVENIENCE SYSTEM",'PARTICIPATION RATES'!$G$20&gt;='MPLH COMPS'!$B$8,'PARTICIPATION RATES'!$G$20&lt;='MPLH COMPS'!$C$8),'MPLH COMPS'!$F$8&amp;" - "&amp;'MPLH COMPS'!$G$8,
IF(AND(L4="CONVENIENCE SYSTEM",'PARTICIPATION RATES'!$G$20&gt;='MPLH COMPS'!$B$9,'PARTICIPATION RATES'!$G$20&lt;='MPLH COMPS'!$C$9),'MPLH COMPS'!$F$9&amp;" - "&amp;'MPLH COMPS'!$G$9,
IF(AND(L4="CONVENIENCE SYSTEM",'PARTICIPATION RATES'!$G$20&gt;='MPLH COMPS'!$B$10,'PARTICIPATION RATES'!$G$20&lt;='MPLH COMPS'!$C$10),'MPLH COMPS'!$F$10&amp;" - "&amp;'MPLH COMPS'!$G$10,
IF(AND(L4="CONVENIENCE SYSTEM",'PARTICIPATION RATES'!$G$20&gt;='MPLH COMPS'!$B$11,'PARTICIPATION RATES'!$G$20&lt;='MPLH COMPS'!$C$11),'MPLH COMPS'!$F$11&amp;" - "&amp;'MPLH COMPS'!$G$11,
IF(AND(L4="CONVENIENCE SYSTEM",'PARTICIPATION RATES'!$G$20&gt;='MPLH COMPS'!$B$12,'PARTICIPATION RATES'!$G$20&lt;='MPLH COMPS'!$C$12),'MPLH COMPS'!$F$12&amp;" - "&amp;'MPLH COMPS'!$G$12,
IF(AND(L4="CONVENIENCE SYSTEM",'PARTICIPATION RATES'!$G$20&gt;='MPLH COMPS'!$B$13,'PARTICIPATION RATES'!$G$20&lt;='MPLH COMPS'!$C$13),'MPLH COMPS'!$F$13&amp;" - "&amp;'MPLH COMPS'!$G$13,
""))))))))))))))))))))))</f>
        <v/>
      </c>
      <c r="N7" s="65" t="s">
        <v>145</v>
      </c>
      <c r="O7" s="272">
        <f>IF(OR(O8=0,'REIMBURSEMENTS AND REVENUES'!$C$19=0,O4=0),0,(O8/'REIMBURSEMENTS AND REVENUES'!$C$19)/O4)</f>
        <v>0</v>
      </c>
      <c r="P7" s="121"/>
      <c r="Q7" s="273">
        <f>IF(OR(Q8=0,'REIMBURSEMENTS AND REVENUES'!$C$19=0,Q4=0),0,(Q8/'REIMBURSEMENTS AND REVENUES'!$C$19)/Q4)</f>
        <v>0</v>
      </c>
      <c r="R7" s="274">
        <f>IF(OR(R8=0,'REIMBURSEMENTS AND REVENUES'!$C$19=0,R4=0),0,(R8/'REIMBURSEMENTS AND REVENUES'!$C$19)/R4)</f>
        <v>0</v>
      </c>
    </row>
    <row r="8" spans="2:18" ht="25.25" customHeight="1" x14ac:dyDescent="0.2">
      <c r="B8" s="65" t="s">
        <v>145</v>
      </c>
      <c r="C8" s="78">
        <v>0</v>
      </c>
      <c r="D8" s="85"/>
      <c r="E8" s="78">
        <v>0</v>
      </c>
      <c r="F8" s="310">
        <v>0</v>
      </c>
      <c r="H8" s="65" t="s">
        <v>145</v>
      </c>
      <c r="I8" s="78">
        <v>0</v>
      </c>
      <c r="J8" s="85"/>
      <c r="K8" s="78">
        <v>0</v>
      </c>
      <c r="L8" s="310">
        <v>0</v>
      </c>
      <c r="N8" s="67" t="s">
        <v>147</v>
      </c>
      <c r="O8" s="161">
        <f>SUM(C10,C19,I10,I19)</f>
        <v>0</v>
      </c>
      <c r="P8" s="118"/>
      <c r="Q8" s="162">
        <f>SUM(E10,E19,K10,K19)</f>
        <v>0</v>
      </c>
      <c r="R8" s="163">
        <f>SUM(F10,F19,L10,L19)</f>
        <v>0</v>
      </c>
    </row>
    <row r="9" spans="2:18" ht="25.25" customHeight="1" x14ac:dyDescent="0.2">
      <c r="B9" s="65" t="s">
        <v>167</v>
      </c>
      <c r="C9" s="216">
        <f>('REIMBURSEMENTS AND REVENUES'!$C$19*C$5*C$8*'ADMIN LABOR ASSUMPTIONS'!$C$25)+('REIMBURSEMENTS AND REVENUES'!$C$19*C$5*C$8*'ADMIN LABOR ASSUMPTIONS'!$C$26)</f>
        <v>0</v>
      </c>
      <c r="D9" s="85"/>
      <c r="E9" s="217">
        <f>('REIMBURSEMENTS AND REVENUES'!$C$19*E$5*E$8*'ADMIN LABOR ASSUMPTIONS'!$C$25)+('REIMBURSEMENTS AND REVENUES'!$C$19*E$5*E$8*'ADMIN LABOR ASSUMPTIONS'!$C$26)</f>
        <v>0</v>
      </c>
      <c r="F9" s="218">
        <f>('REIMBURSEMENTS AND REVENUES'!$C$19*F$5*F$8*'ADMIN LABOR ASSUMPTIONS'!$C$25)+('REIMBURSEMENTS AND REVENUES'!$C$19*F$5*F$8*'ADMIN LABOR ASSUMPTIONS'!$C$26)</f>
        <v>0</v>
      </c>
      <c r="H9" s="65" t="s">
        <v>167</v>
      </c>
      <c r="I9" s="216">
        <f>('REIMBURSEMENTS AND REVENUES'!$C$19*I$5*I$8*'ADMIN LABOR ASSUMPTIONS'!$C$25)+('REIMBURSEMENTS AND REVENUES'!$C$19*I$5*I$8*'ADMIN LABOR ASSUMPTIONS'!$C$26)</f>
        <v>0</v>
      </c>
      <c r="J9" s="85"/>
      <c r="K9" s="217">
        <f>('REIMBURSEMENTS AND REVENUES'!$C$19*K$5*K$8*'ADMIN LABOR ASSUMPTIONS'!$C$25)+('REIMBURSEMENTS AND REVENUES'!$C$19*K$5*K$8*'ADMIN LABOR ASSUMPTIONS'!$C$26)</f>
        <v>0</v>
      </c>
      <c r="L9" s="218">
        <f>('REIMBURSEMENTS AND REVENUES'!$C$19*L$5*L$8*'ADMIN LABOR ASSUMPTIONS'!$C$25)+('REIMBURSEMENTS AND REVENUES'!$C$19*L$5*L$8*'ADMIN LABOR ASSUMPTIONS'!$C$26)</f>
        <v>0</v>
      </c>
      <c r="N9" s="61"/>
      <c r="O9" s="54"/>
      <c r="P9" s="52"/>
      <c r="Q9" s="54"/>
      <c r="R9" s="54"/>
    </row>
    <row r="10" spans="2:18" ht="25.25" customHeight="1" x14ac:dyDescent="0.2">
      <c r="B10" s="67" t="s">
        <v>147</v>
      </c>
      <c r="C10" s="161">
        <f>('REIMBURSEMENTS AND REVENUES'!$C$19*C$5*C$8)+C$9</f>
        <v>0</v>
      </c>
      <c r="D10" s="118"/>
      <c r="E10" s="162">
        <f>('REIMBURSEMENTS AND REVENUES'!$C$19*E$5*E$8)+E$9</f>
        <v>0</v>
      </c>
      <c r="F10" s="163">
        <f>('REIMBURSEMENTS AND REVENUES'!$C$19*F$5*F$8)+F$9</f>
        <v>0</v>
      </c>
      <c r="H10" s="67" t="s">
        <v>147</v>
      </c>
      <c r="I10" s="161">
        <f>('REIMBURSEMENTS AND REVENUES'!$C$19*I$5*I$8)+I$9</f>
        <v>0</v>
      </c>
      <c r="J10" s="118"/>
      <c r="K10" s="162">
        <f>('REIMBURSEMENTS AND REVENUES'!$C$19*K$5*K$8)+K$9</f>
        <v>0</v>
      </c>
      <c r="L10" s="163">
        <f>('REIMBURSEMENTS AND REVENUES'!$C$19*L$5*L$8)+L$9</f>
        <v>0</v>
      </c>
    </row>
    <row r="11" spans="2:18" ht="38.75" customHeight="1" x14ac:dyDescent="0.2">
      <c r="B11" s="25"/>
      <c r="C11" s="171" t="s">
        <v>98</v>
      </c>
      <c r="D11" s="103"/>
      <c r="E11" s="331" t="s">
        <v>99</v>
      </c>
      <c r="F11" s="332"/>
      <c r="I11" s="238" t="s">
        <v>98</v>
      </c>
      <c r="J11" s="103"/>
      <c r="K11" s="331" t="s">
        <v>99</v>
      </c>
      <c r="L11" s="332"/>
    </row>
    <row r="12" spans="2:18" ht="25.25" customHeight="1" x14ac:dyDescent="0.2">
      <c r="B12" s="105" t="str">
        <f>ENROLLMENT!H2</f>
        <v>SCHOOL TYPE #2</v>
      </c>
      <c r="C12" s="95" t="s">
        <v>78</v>
      </c>
      <c r="D12" s="92"/>
      <c r="E12" s="114" t="s">
        <v>50</v>
      </c>
      <c r="F12" s="96" t="s">
        <v>47</v>
      </c>
      <c r="H12" s="105" t="str">
        <f>ENROLLMENT!H13</f>
        <v>SCHOOL TYPE #4</v>
      </c>
      <c r="I12" s="95" t="s">
        <v>78</v>
      </c>
      <c r="J12" s="92"/>
      <c r="K12" s="114" t="s">
        <v>50</v>
      </c>
      <c r="L12" s="96" t="s">
        <v>47</v>
      </c>
      <c r="N12" s="333" t="s">
        <v>77</v>
      </c>
      <c r="O12" s="333"/>
      <c r="P12" s="333"/>
    </row>
    <row r="13" spans="2:18" ht="36.25" customHeight="1" x14ac:dyDescent="0.2">
      <c r="B13" s="66" t="s">
        <v>94</v>
      </c>
      <c r="C13" s="312" t="s">
        <v>86</v>
      </c>
      <c r="D13" s="85"/>
      <c r="E13" s="312" t="s">
        <v>86</v>
      </c>
      <c r="F13" s="312" t="s">
        <v>86</v>
      </c>
      <c r="H13" s="66" t="s">
        <v>94</v>
      </c>
      <c r="I13" s="312" t="s">
        <v>86</v>
      </c>
      <c r="J13" s="85"/>
      <c r="K13" s="312" t="s">
        <v>86</v>
      </c>
      <c r="L13" s="312" t="s">
        <v>86</v>
      </c>
    </row>
    <row r="14" spans="2:18" ht="25.25" customHeight="1" x14ac:dyDescent="0.2">
      <c r="B14" s="65" t="s">
        <v>146</v>
      </c>
      <c r="C14" s="313">
        <v>0</v>
      </c>
      <c r="D14" s="231"/>
      <c r="E14" s="313">
        <v>0</v>
      </c>
      <c r="F14" s="313">
        <v>0</v>
      </c>
      <c r="H14" s="65" t="s">
        <v>146</v>
      </c>
      <c r="I14" s="313">
        <v>0</v>
      </c>
      <c r="J14" s="231"/>
      <c r="K14" s="313">
        <v>0</v>
      </c>
      <c r="L14" s="313">
        <v>0</v>
      </c>
    </row>
    <row r="15" spans="2:18" ht="25.25" customHeight="1" x14ac:dyDescent="0.2">
      <c r="B15" s="65" t="s">
        <v>144</v>
      </c>
      <c r="C15" s="158">
        <f>IF(C14=0,0,'PARTICIPATION RATES'!J10/C14)</f>
        <v>0</v>
      </c>
      <c r="D15" s="85"/>
      <c r="E15" s="159">
        <f>IF(E14=0,0,'PARTICIPATION RATES'!L10/E14)</f>
        <v>0</v>
      </c>
      <c r="F15" s="160">
        <f>IF(F14=0,0,'PARTICIPATION RATES'!M10/F14)</f>
        <v>0</v>
      </c>
      <c r="H15" s="65" t="s">
        <v>144</v>
      </c>
      <c r="I15" s="158">
        <f>IF(I14=0,0,'PARTICIPATION RATES'!J20/I14)</f>
        <v>0</v>
      </c>
      <c r="J15" s="85"/>
      <c r="K15" s="159">
        <f>IF(K14=0,0,'PARTICIPATION RATES'!L20/K14)</f>
        <v>0</v>
      </c>
      <c r="L15" s="160">
        <f>IF(L14=0,0,'PARTICIPATION RATES'!M20/L14)</f>
        <v>0</v>
      </c>
    </row>
    <row r="16" spans="2:18" ht="25.25" customHeight="1" x14ac:dyDescent="0.2">
      <c r="B16" s="65" t="s">
        <v>34</v>
      </c>
      <c r="C16" s="158" t="str">
        <f>IF(AND(C13="CONVENTIONAL SYSTEM",'PARTICIPATION RATES'!$J$10&gt;='MPLH COMPS'!$B$3,'PARTICIPATION RATES'!$J$10&lt;='MPLH COMPS'!$C$3),'MPLH COMPS'!$D$3&amp;" - "&amp;'MPLH COMPS'!$E$3,
IF(AND(C13="CONVENTIONAL SYSTEM",'PARTICIPATION RATES'!$J$10&gt;='MPLH COMPS'!$B$4,'PARTICIPATION RATES'!$J$10&lt;='MPLH COMPS'!$C$4),'MPLH COMPS'!$D$4&amp;" - "&amp;'MPLH COMPS'!$E$4,
IF(AND(C13="CONVENTIONAL SYSTEM",'PARTICIPATION RATES'!$J$10&gt;='MPLH COMPS'!$B$5,'PARTICIPATION RATES'!$J$10&lt;='MPLH COMPS'!$C$5),'MPLH COMPS'!$D$5&amp;" - "&amp;'MPLH COMPS'!$E$5,
IF(AND(C13="CONVENTIONAL SYSTEM",'PARTICIPATION RATES'!$J$10&gt;='MPLH COMPS'!$B$6,'PARTICIPATION RATES'!$J$10&lt;='MPLH COMPS'!$C$6),'MPLH COMPS'!$D$6&amp;" - "&amp;'MPLH COMPS'!$E$6,
IF(AND(C13="CONVENTIONAL SYSTEM",'PARTICIPATION RATES'!$J$10&gt;='MPLH COMPS'!$B$7,'PARTICIPATION RATES'!$J$10&lt;='MPLH COMPS'!$C$7),'MPLH COMPS'!$D$7&amp;" - "&amp;'MPLH COMPS'!$E$7,
IF(AND(C13="CONVENTIONAL SYSTEM",'PARTICIPATION RATES'!$J$10&gt;='MPLH COMPS'!$B$8,'PARTICIPATION RATES'!$J$10&lt;='MPLH COMPS'!$C$8),'MPLH COMPS'!$D$8&amp;" - "&amp;'MPLH COMPS'!$E$8,
IF(AND(C13="CONVENTIONAL SYSTEM",'PARTICIPATION RATES'!$J$10&gt;='MPLH COMPS'!$B$9,'PARTICIPATION RATES'!$J$10&lt;='MPLH COMPS'!$C$9),'MPLH COMPS'!$D$9&amp;" - "&amp;'MPLH COMPS'!$E$9,
IF(AND(C13="CONVENTIONAL SYSTEM",'PARTICIPATION RATES'!$J$10&gt;='MPLH COMPS'!$B$10,'PARTICIPATION RATES'!$J$10&lt;='MPLH COMPS'!$C$10),'MPLH COMPS'!$D$10&amp;" - "&amp;'MPLH COMPS'!$E$10,
IF(AND(C13="CONVENTIONAL SYSTEM",'PARTICIPATION RATES'!$J$10&gt;='MPLH COMPS'!$B$11,'PARTICIPATION RATES'!$J$10&lt;='MPLH COMPS'!$C$11),'MPLH COMPS'!$D$11&amp;" - "&amp;'MPLH COMPS'!$E$11,
IF(AND(C13="CONVENTIONAL SYSTEM",'PARTICIPATION RATES'!$J$10&gt;='MPLH COMPS'!$B$12,'PARTICIPATION RATES'!$J$10&lt;='MPLH COMPS'!$C$12),'MPLH COMPS'!$D$12&amp;" - "&amp;'MPLH COMPS'!$E$12,
IF(AND(C13="CONVENTIONAL SYSTEM",'PARTICIPATION RATES'!$J$10&gt;='MPLH COMPS'!$B$13,'PARTICIPATION RATES'!$J$10&lt;='MPLH COMPS'!$C$13),'MPLH COMPS'!$D$13&amp;" - "&amp;'MPLH COMPS'!$E$13,
IF(AND(C13="CONVENIENCE SYSTEM",'PARTICIPATION RATES'!$J$10&gt;='MPLH COMPS'!$B$3,'PARTICIPATION RATES'!$J$10&lt;='MPLH COMPS'!$C$3),'MPLH COMPS'!$F$3&amp;" - "&amp;'MPLH COMPS'!$G$3,
IF(AND(C13="CONVENIENCE SYSTEM",'PARTICIPATION RATES'!$J$10&gt;='MPLH COMPS'!$B$4,'PARTICIPATION RATES'!$J$10&lt;='MPLH COMPS'!$C$4),'MPLH COMPS'!$F$4&amp;" - "&amp;'MPLH COMPS'!$G$4,
IF(AND(C13="CONVENIENCE SYSTEM",'PARTICIPATION RATES'!$J$10&gt;='MPLH COMPS'!$B$5,'PARTICIPATION RATES'!$J$10&lt;='MPLH COMPS'!$C$5),'MPLH COMPS'!$F$5&amp;" - "&amp;'MPLH COMPS'!$G$5,
IF(AND(C13="CONVENIENCE SYSTEM",'PARTICIPATION RATES'!$J$10&gt;='MPLH COMPS'!$B$6,'PARTICIPATION RATES'!$J$10&lt;='MPLH COMPS'!$C$6),'MPLH COMPS'!$F$6&amp;" - "&amp;'MPLH COMPS'!$G$6,
IF(AND(C13="CONVENIENCE SYSTEM",'PARTICIPATION RATES'!$J$10&gt;='MPLH COMPS'!$B$7,'PARTICIPATION RATES'!$J$10&lt;='MPLH COMPS'!$C$7),'MPLH COMPS'!$F$7&amp;" - "&amp;'MPLH COMPS'!$G$7,
IF(AND(C13="CONVENIENCE SYSTEM",'PARTICIPATION RATES'!$J$10&gt;='MPLH COMPS'!$B$8,'PARTICIPATION RATES'!$J$10&lt;='MPLH COMPS'!$C$8),'MPLH COMPS'!$F$8&amp;" - "&amp;'MPLH COMPS'!$G$8,
IF(AND(C13="CONVENIENCE SYSTEM",'PARTICIPATION RATES'!$J$10&gt;='MPLH COMPS'!$B$9,'PARTICIPATION RATES'!$J$10&lt;='MPLH COMPS'!$C$9),'MPLH COMPS'!$F$9&amp;" - "&amp;'MPLH COMPS'!$G$9,
IF(AND(C13="CONVENIENCE SYSTEM",'PARTICIPATION RATES'!$J$10&gt;='MPLH COMPS'!$B$10,'PARTICIPATION RATES'!$J$10&lt;='MPLH COMPS'!$C$10),'MPLH COMPS'!$F$10&amp;" - "&amp;'MPLH COMPS'!$G$10,
IF(AND(C13="CONVENIENCE SYSTEM",'PARTICIPATION RATES'!$J$10&gt;='MPLH COMPS'!$B$11,'PARTICIPATION RATES'!$J$10&lt;='MPLH COMPS'!$C$11),'MPLH COMPS'!$F$11&amp;" - "&amp;'MPLH COMPS'!$G$11,
IF(AND(C13="CONVENIENCE SYSTEM",'PARTICIPATION RATES'!$J$10&gt;='MPLH COMPS'!$B$12,'PARTICIPATION RATES'!$J$10&lt;='MPLH COMPS'!$C$12),'MPLH COMPS'!$F$12&amp;" - "&amp;'MPLH COMPS'!$G$12,
IF(AND(C13="CONVENIENCE SYSTEM",'PARTICIPATION RATES'!$J$10&gt;='MPLH COMPS'!$B$13,'PARTICIPATION RATES'!$J$10&lt;='MPLH COMPS'!$C$13),'MPLH COMPS'!$F$13&amp;" - "&amp;'MPLH COMPS'!$G$13,
""))))))))))))))))))))))</f>
        <v/>
      </c>
      <c r="D16" s="85"/>
      <c r="E16" s="159" t="str">
        <f>IF(AND(E13="CONVENTIONAL SYSTEM",'PARTICIPATION RATES'!$L$10&gt;='MPLH COMPS'!$B$3,'PARTICIPATION RATES'!$L$10&lt;='MPLH COMPS'!$C$3),'MPLH COMPS'!$D$3&amp;" - "&amp;'MPLH COMPS'!$E$3,
IF(AND(E13="CONVENTIONAL SYSTEM",'PARTICIPATION RATES'!$L$10&gt;='MPLH COMPS'!$B$4,'PARTICIPATION RATES'!$L$10&lt;='MPLH COMPS'!$C$4),'MPLH COMPS'!$D$4&amp;" - "&amp;'MPLH COMPS'!$E$4,
IF(AND(E13="CONVENTIONAL SYSTEM",'PARTICIPATION RATES'!$L$10&gt;='MPLH COMPS'!$B$5,'PARTICIPATION RATES'!$L$10&lt;='MPLH COMPS'!$C$5),'MPLH COMPS'!$D$5&amp;" - "&amp;'MPLH COMPS'!$E$5,
IF(AND(E13="CONVENTIONAL SYSTEM",'PARTICIPATION RATES'!$L$10&gt;='MPLH COMPS'!$B$6,'PARTICIPATION RATES'!$L$10&lt;='MPLH COMPS'!$C$6),'MPLH COMPS'!$D$6&amp;" - "&amp;'MPLH COMPS'!$E$6,
IF(AND(E13="CONVENTIONAL SYSTEM",'PARTICIPATION RATES'!$L$10&gt;='MPLH COMPS'!$B$7,'PARTICIPATION RATES'!$L$10&lt;='MPLH COMPS'!$C$7),'MPLH COMPS'!$D$7&amp;" - "&amp;'MPLH COMPS'!$E$7,
IF(AND(E13="CONVENTIONAL SYSTEM",'PARTICIPATION RATES'!$L$10&gt;='MPLH COMPS'!$B$8,'PARTICIPATION RATES'!$L$10&lt;='MPLH COMPS'!$C$8),'MPLH COMPS'!$D$8&amp;" - "&amp;'MPLH COMPS'!$E$8,
IF(AND(E13="CONVENTIONAL SYSTEM",'PARTICIPATION RATES'!$L$10&gt;='MPLH COMPS'!$B$9,'PARTICIPATION RATES'!$L$10&lt;='MPLH COMPS'!$C$9),'MPLH COMPS'!$D$9&amp;" - "&amp;'MPLH COMPS'!$E$9,
IF(AND(E13="CONVENTIONAL SYSTEM",'PARTICIPATION RATES'!$L$10&gt;='MPLH COMPS'!$B$10,'PARTICIPATION RATES'!$L$10&lt;='MPLH COMPS'!$C$10),'MPLH COMPS'!$D$10&amp;" - "&amp;'MPLH COMPS'!$E$10,
IF(AND(E13="CONVENTIONAL SYSTEM",'PARTICIPATION RATES'!$L$10&gt;='MPLH COMPS'!$B$11,'PARTICIPATION RATES'!$L$10&lt;='MPLH COMPS'!$C$11),'MPLH COMPS'!$D$11&amp;" - "&amp;'MPLH COMPS'!$E$11,
IF(AND(E13="CONVENTIONAL SYSTEM",'PARTICIPATION RATES'!$L$10&gt;='MPLH COMPS'!$B$12,'PARTICIPATION RATES'!$L$10&lt;='MPLH COMPS'!$C$12),'MPLH COMPS'!$D$12&amp;" - "&amp;'MPLH COMPS'!$E$12,
IF(AND(E13="CONVENTIONAL SYSTEM",'PARTICIPATION RATES'!$L$10&gt;='MPLH COMPS'!$B$13,'PARTICIPATION RATES'!$L$10&lt;='MPLH COMPS'!$C$13),'MPLH COMPS'!$D$13&amp;" - "&amp;'MPLH COMPS'!$E$13,
IF(AND(E13="CONVENIENCE SYSTEM",'PARTICIPATION RATES'!$L$10&gt;='MPLH COMPS'!$B$3,'PARTICIPATION RATES'!$L$10&lt;='MPLH COMPS'!$C$3),'MPLH COMPS'!$F$3&amp;" - "&amp;'MPLH COMPS'!$G$3,
IF(AND(E13="CONVENIENCE SYSTEM",'PARTICIPATION RATES'!$L$10&gt;='MPLH COMPS'!$B$4,'PARTICIPATION RATES'!$L$10&lt;='MPLH COMPS'!$C$4),'MPLH COMPS'!$F$4&amp;" - "&amp;'MPLH COMPS'!$G$4,
IF(AND(E13="CONVENIENCE SYSTEM",'PARTICIPATION RATES'!$L$10&gt;='MPLH COMPS'!$B$5,'PARTICIPATION RATES'!$L$10&lt;='MPLH COMPS'!$C$5),'MPLH COMPS'!$F$5&amp;" - "&amp;'MPLH COMPS'!$G$5,
IF(AND(E13="CONVENIENCE SYSTEM",'PARTICIPATION RATES'!$L$10&gt;='MPLH COMPS'!$B$6,'PARTICIPATION RATES'!$L$10&lt;='MPLH COMPS'!$C$6),'MPLH COMPS'!$F$6&amp;" - "&amp;'MPLH COMPS'!$G$6,
IF(AND(E13="CONVENIENCE SYSTEM",'PARTICIPATION RATES'!$L$10&gt;='MPLH COMPS'!$B$7,'PARTICIPATION RATES'!$L$10&lt;='MPLH COMPS'!$C$7),'MPLH COMPS'!$F$7&amp;" - "&amp;'MPLH COMPS'!$G$7,
IF(AND(E13="CONVENIENCE SYSTEM",'PARTICIPATION RATES'!$L$10&gt;='MPLH COMPS'!$B$8,'PARTICIPATION RATES'!$L$10&lt;='MPLH COMPS'!$C$8),'MPLH COMPS'!$F$8&amp;" - "&amp;'MPLH COMPS'!$G$8,
IF(AND(E13="CONVENIENCE SYSTEM",'PARTICIPATION RATES'!$L$10&gt;='MPLH COMPS'!$B$9,'PARTICIPATION RATES'!$L$10&lt;='MPLH COMPS'!$C$9),'MPLH COMPS'!$F$9&amp;" - "&amp;'MPLH COMPS'!$G$9,
IF(AND(E13="CONVENIENCE SYSTEM",'PARTICIPATION RATES'!$L$10&gt;='MPLH COMPS'!$B$10,'PARTICIPATION RATES'!$L$10&lt;='MPLH COMPS'!$C$10),'MPLH COMPS'!$F$10&amp;" - "&amp;'MPLH COMPS'!$G$10,
IF(AND(E13="CONVENIENCE SYSTEM",'PARTICIPATION RATES'!$L$10&gt;='MPLH COMPS'!$B$11,'PARTICIPATION RATES'!$L$10&lt;='MPLH COMPS'!$C$11),'MPLH COMPS'!$F$11&amp;" - "&amp;'MPLH COMPS'!$G$11,
IF(AND(E13="CONVENIENCE SYSTEM",'PARTICIPATION RATES'!$L$10&gt;='MPLH COMPS'!$B$12,'PARTICIPATION RATES'!$L$10&lt;='MPLH COMPS'!$C$12),'MPLH COMPS'!$F$12&amp;" - "&amp;'MPLH COMPS'!$G$12,
IF(AND(E13="CONVENIENCE SYSTEM",'PARTICIPATION RATES'!$L$10&gt;='MPLH COMPS'!$B$13,'PARTICIPATION RATES'!$L$10&lt;='MPLH COMPS'!$C$13),'MPLH COMPS'!$F$13&amp;" - "&amp;'MPLH COMPS'!$G$13,
""))))))))))))))))))))))</f>
        <v/>
      </c>
      <c r="F16" s="160" t="str">
        <f>IF(AND(F13="CONVENTIONAL SYSTEM",'PARTICIPATION RATES'!$M$10&gt;='MPLH COMPS'!$B$3,'PARTICIPATION RATES'!$M$10&lt;='MPLH COMPS'!$C$3),'MPLH COMPS'!$D$3&amp;" - "&amp;'MPLH COMPS'!$E$3,
IF(AND(F13="CONVENTIONAL SYSTEM",'PARTICIPATION RATES'!$M$10&gt;='MPLH COMPS'!$B$4,'PARTICIPATION RATES'!$M$10&lt;='MPLH COMPS'!$C$4),'MPLH COMPS'!$D$4&amp;" - "&amp;'MPLH COMPS'!$E$4,
IF(AND(F13="CONVENTIONAL SYSTEM",'PARTICIPATION RATES'!$M$10&gt;='MPLH COMPS'!$B$5,'PARTICIPATION RATES'!$M$10&lt;='MPLH COMPS'!$C$5),'MPLH COMPS'!$D$5&amp;" - "&amp;'MPLH COMPS'!$E$5,
IF(AND(F13="CONVENTIONAL SYSTEM",'PARTICIPATION RATES'!$M$10&gt;='MPLH COMPS'!$B$6,'PARTICIPATION RATES'!$M$10&lt;='MPLH COMPS'!$C$6),'MPLH COMPS'!$D$6&amp;" - "&amp;'MPLH COMPS'!$E$6,
IF(AND(F13="CONVENTIONAL SYSTEM",'PARTICIPATION RATES'!$M$10&gt;='MPLH COMPS'!$B$7,'PARTICIPATION RATES'!$M$10&lt;='MPLH COMPS'!$C$7),'MPLH COMPS'!$D$7&amp;" - "&amp;'MPLH COMPS'!$E$7,
IF(AND(F13="CONVENTIONAL SYSTEM",'PARTICIPATION RATES'!$M$10&gt;='MPLH COMPS'!$B$8,'PARTICIPATION RATES'!$M$10&lt;='MPLH COMPS'!$C$8),'MPLH COMPS'!$D$8&amp;" - "&amp;'MPLH COMPS'!$E$8,
IF(AND(F13="CONVENTIONAL SYSTEM",'PARTICIPATION RATES'!$M$10&gt;='MPLH COMPS'!$B$9,'PARTICIPATION RATES'!$M$10&lt;='MPLH COMPS'!$C$9),'MPLH COMPS'!$D$9&amp;" - "&amp;'MPLH COMPS'!$E$9,
IF(AND(F13="CONVENTIONAL SYSTEM",'PARTICIPATION RATES'!$M$10&gt;='MPLH COMPS'!$B$10,'PARTICIPATION RATES'!$M$10&lt;='MPLH COMPS'!$C$10),'MPLH COMPS'!$D$10&amp;" - "&amp;'MPLH COMPS'!$E$10,
IF(AND(F13="CONVENTIONAL SYSTEM",'PARTICIPATION RATES'!$M$10&gt;='MPLH COMPS'!$B$11,'PARTICIPATION RATES'!$M$10&lt;='MPLH COMPS'!$C$11),'MPLH COMPS'!$D$11&amp;" - "&amp;'MPLH COMPS'!$E$11,
IF(AND(F13="CONVENTIONAL SYSTEM",'PARTICIPATION RATES'!$M$10&gt;='MPLH COMPS'!$B$12,'PARTICIPATION RATES'!$M$10&lt;='MPLH COMPS'!$C$12),'MPLH COMPS'!$D$12&amp;" - "&amp;'MPLH COMPS'!$E$12,
IF(AND(F13="CONVENTIONAL SYSTEM",'PARTICIPATION RATES'!$M$10&gt;='MPLH COMPS'!$B$13,'PARTICIPATION RATES'!$M$10&lt;='MPLH COMPS'!$C$13),'MPLH COMPS'!$D$13&amp;" - "&amp;'MPLH COMPS'!$E$13,
IF(AND(F13="CONVENIENCE SYSTEM",'PARTICIPATION RATES'!$M$10&gt;='MPLH COMPS'!$B$3,'PARTICIPATION RATES'!$M$10&lt;='MPLH COMPS'!$C$3),'MPLH COMPS'!$F$3&amp;" - "&amp;'MPLH COMPS'!$G$3,
IF(AND(F13="CONVENIENCE SYSTEM",'PARTICIPATION RATES'!$M$10&gt;='MPLH COMPS'!$B$4,'PARTICIPATION RATES'!$M$10&lt;='MPLH COMPS'!$C$4),'MPLH COMPS'!$F$4&amp;" - "&amp;'MPLH COMPS'!$G$4,
IF(AND(F13="CONVENIENCE SYSTEM",'PARTICIPATION RATES'!$M$10&gt;='MPLH COMPS'!$B$5,'PARTICIPATION RATES'!$M$10&lt;='MPLH COMPS'!$C$5),'MPLH COMPS'!$F$5&amp;" - "&amp;'MPLH COMPS'!$G$5,
IF(AND(F13="CONVENIENCE SYSTEM",'PARTICIPATION RATES'!$M$10&gt;='MPLH COMPS'!$B$6,'PARTICIPATION RATES'!$M$10&lt;='MPLH COMPS'!$C$6),'MPLH COMPS'!$F$6&amp;" - "&amp;'MPLH COMPS'!$G$6,
IF(AND(F13="CONVENIENCE SYSTEM",'PARTICIPATION RATES'!$M$10&gt;='MPLH COMPS'!$B$7,'PARTICIPATION RATES'!$M$10&lt;='MPLH COMPS'!$C$7),'MPLH COMPS'!$F$7&amp;" - "&amp;'MPLH COMPS'!$G$7,
IF(AND(F13="CONVENIENCE SYSTEM",'PARTICIPATION RATES'!$M$10&gt;='MPLH COMPS'!$B$8,'PARTICIPATION RATES'!$M$10&lt;='MPLH COMPS'!$C$8),'MPLH COMPS'!$F$8&amp;" - "&amp;'MPLH COMPS'!$G$8,
IF(AND(F13="CONVENIENCE SYSTEM",'PARTICIPATION RATES'!$M$10&gt;='MPLH COMPS'!$B$9,'PARTICIPATION RATES'!$M$10&lt;='MPLH COMPS'!$C$9),'MPLH COMPS'!$F$9&amp;" - "&amp;'MPLH COMPS'!$G$9,
IF(AND(F13="CONVENIENCE SYSTEM",'PARTICIPATION RATES'!$M$10&gt;='MPLH COMPS'!$B$10,'PARTICIPATION RATES'!$M$10&lt;='MPLH COMPS'!$C$10),'MPLH COMPS'!$F$10&amp;" - "&amp;'MPLH COMPS'!$G$10,
IF(AND(F13="CONVENIENCE SYSTEM",'PARTICIPATION RATES'!$M$10&gt;='MPLH COMPS'!$B$11,'PARTICIPATION RATES'!$M$10&lt;='MPLH COMPS'!$C$11),'MPLH COMPS'!$F$11&amp;" - "&amp;'MPLH COMPS'!$G$11,
IF(AND(F13="CONVENIENCE SYSTEM",'PARTICIPATION RATES'!$M$10&gt;='MPLH COMPS'!$B$12,'PARTICIPATION RATES'!$M$10&lt;='MPLH COMPS'!$C$12),'MPLH COMPS'!$F$12&amp;" - "&amp;'MPLH COMPS'!$G$12,
IF(AND(F13="CONVENIENCE SYSTEM",'PARTICIPATION RATES'!$M$10&gt;='MPLH COMPS'!$B$13,'PARTICIPATION RATES'!$M$10&lt;='MPLH COMPS'!$C$13),'MPLH COMPS'!$F$13&amp;" - "&amp;'MPLH COMPS'!$G$13,
""))))))))))))))))))))))</f>
        <v/>
      </c>
      <c r="H16" s="65" t="s">
        <v>34</v>
      </c>
      <c r="I16" s="158" t="str">
        <f>IF(AND(I13="CONVENTIONAL SYSTEM",'PARTICIPATION RATES'!$D$20&gt;='MPLH COMPS'!$B$3,'PARTICIPATION RATES'!$D$20&lt;='MPLH COMPS'!$C$3),'MPLH COMPS'!$D$3&amp;" - "&amp;'MPLH COMPS'!$E$3,
IF(AND(I13="CONVENTIONAL SYSTEM",'PARTICIPATION RATES'!$D$20&gt;='MPLH COMPS'!$B$4,'PARTICIPATION RATES'!$D$20&lt;='MPLH COMPS'!$C$4),'MPLH COMPS'!$D$4&amp;" - "&amp;'MPLH COMPS'!$E$4,
IF(AND(I13="CONVENTIONAL SYSTEM",'PARTICIPATION RATES'!$D$20&gt;='MPLH COMPS'!$B$5,'PARTICIPATION RATES'!$D$20&lt;='MPLH COMPS'!$C$5),'MPLH COMPS'!$D$5&amp;" - "&amp;'MPLH COMPS'!$E$5,
IF(AND(I13="CONVENTIONAL SYSTEM",'PARTICIPATION RATES'!$D$20&gt;='MPLH COMPS'!$B$6,'PARTICIPATION RATES'!$D$20&lt;='MPLH COMPS'!$C$6),'MPLH COMPS'!$D$6&amp;" - "&amp;'MPLH COMPS'!$E$6,
IF(AND(I13="CONVENTIONAL SYSTEM",'PARTICIPATION RATES'!$D$20&gt;='MPLH COMPS'!$B$7,'PARTICIPATION RATES'!$D$20&lt;='MPLH COMPS'!$C$7),'MPLH COMPS'!$D$7&amp;" - "&amp;'MPLH COMPS'!$E$7,
IF(AND(I13="CONVENTIONAL SYSTEM",'PARTICIPATION RATES'!$D$20&gt;='MPLH COMPS'!$B$8,'PARTICIPATION RATES'!$D$20&lt;='MPLH COMPS'!$C$8),'MPLH COMPS'!$D$8&amp;" - "&amp;'MPLH COMPS'!$E$8,
IF(AND(I13="CONVENTIONAL SYSTEM",'PARTICIPATION RATES'!$D$20&gt;='MPLH COMPS'!$B$9,'PARTICIPATION RATES'!$D$20&lt;='MPLH COMPS'!$C$9),'MPLH COMPS'!$D$9&amp;" - "&amp;'MPLH COMPS'!$E$9,
IF(AND(I13="CONVENTIONAL SYSTEM",'PARTICIPATION RATES'!$D$20&gt;='MPLH COMPS'!$B$10,'PARTICIPATION RATES'!$D$20&lt;='MPLH COMPS'!$C$10),'MPLH COMPS'!$D$10&amp;" - "&amp;'MPLH COMPS'!$E$10,
IF(AND(I13="CONVENTIONAL SYSTEM",'PARTICIPATION RATES'!$D$20&gt;='MPLH COMPS'!$B$11,'PARTICIPATION RATES'!$D$20&lt;='MPLH COMPS'!$C$11),'MPLH COMPS'!$D$11&amp;" - "&amp;'MPLH COMPS'!$E$11,
IF(AND(I13="CONVENTIONAL SYSTEM",'PARTICIPATION RATES'!$D$20&gt;='MPLH COMPS'!$B$12,'PARTICIPATION RATES'!$D$20&lt;='MPLH COMPS'!$C$12),'MPLH COMPS'!$D$12&amp;" - "&amp;'MPLH COMPS'!$E$12,
IF(AND(I13="CONVENTIONAL SYSTEM",'PARTICIPATION RATES'!$D$20&gt;='MPLH COMPS'!$B$13,'PARTICIPATION RATES'!$D$20&lt;='MPLH COMPS'!$C$13),'MPLH COMPS'!$D$13&amp;" - "&amp;'MPLH COMPS'!$E$13,
IF(AND(I13="CONVENIENCE SYSTEM",'PARTICIPATION RATES'!$D$20&gt;='MPLH COMPS'!$B$3,'PARTICIPATION RATES'!$D$20&lt;='MPLH COMPS'!$C$3),'MPLH COMPS'!$F$3&amp;" - "&amp;'MPLH COMPS'!$G$3,
IF(AND(I13="CONVENIENCE SYSTEM",'PARTICIPATION RATES'!$D$20&gt;='MPLH COMPS'!$B$4,'PARTICIPATION RATES'!$D$20&lt;='MPLH COMPS'!$C$4),'MPLH COMPS'!$F$4&amp;" - "&amp;'MPLH COMPS'!$G$4,
IF(AND(I13="CONVENIENCE SYSTEM",'PARTICIPATION RATES'!$D$20&gt;='MPLH COMPS'!$B$5,'PARTICIPATION RATES'!$D$20&lt;='MPLH COMPS'!$C$5),'MPLH COMPS'!$F$5&amp;" - "&amp;'MPLH COMPS'!$G$5,
IF(AND(I13="CONVENIENCE SYSTEM",'PARTICIPATION RATES'!$D$20&gt;='MPLH COMPS'!$B$6,'PARTICIPATION RATES'!$D$20&lt;='MPLH COMPS'!$C$6),'MPLH COMPS'!$F$6&amp;" - "&amp;'MPLH COMPS'!$G$6,
IF(AND(I13="CONVENIENCE SYSTEM",'PARTICIPATION RATES'!$D$20&gt;='MPLH COMPS'!$B$7,'PARTICIPATION RATES'!$D$20&lt;='MPLH COMPS'!$C$7),'MPLH COMPS'!$F$7&amp;" - "&amp;'MPLH COMPS'!$G$7,
IF(AND(I13="CONVENIENCE SYSTEM",'PARTICIPATION RATES'!$D$20&gt;='MPLH COMPS'!$B$8,'PARTICIPATION RATES'!$D$20&lt;='MPLH COMPS'!$C$8),'MPLH COMPS'!$F$8&amp;" - "&amp;'MPLH COMPS'!$G$8,
IF(AND(I13="CONVENIENCE SYSTEM",'PARTICIPATION RATES'!$D$20&gt;='MPLH COMPS'!$B$9,'PARTICIPATION RATES'!$D$20&lt;='MPLH COMPS'!$C$9),'MPLH COMPS'!$F$9&amp;" - "&amp;'MPLH COMPS'!$G$9,
IF(AND(I13="CONVENIENCE SYSTEM",'PARTICIPATION RATES'!$D$20&gt;='MPLH COMPS'!$B$10,'PARTICIPATION RATES'!$D$20&lt;='MPLH COMPS'!$C$10),'MPLH COMPS'!$F$10&amp;" - "&amp;'MPLH COMPS'!$G$10,
IF(AND(I13="CONVENIENCE SYSTEM",'PARTICIPATION RATES'!$D$20&gt;='MPLH COMPS'!$B$11,'PARTICIPATION RATES'!$D$20&lt;='MPLH COMPS'!$C$11),'MPLH COMPS'!$F$11&amp;" - "&amp;'MPLH COMPS'!$G$11,
IF(AND(I13="CONVENIENCE SYSTEM",'PARTICIPATION RATES'!$D$20&gt;='MPLH COMPS'!$B$12,'PARTICIPATION RATES'!$D$20&lt;='MPLH COMPS'!$C$12),'MPLH COMPS'!$F$12&amp;" - "&amp;'MPLH COMPS'!$G$12,
IF(AND(I13="CONVENIENCE SYSTEM",'PARTICIPATION RATES'!$D$20&gt;='MPLH COMPS'!$B$13,'PARTICIPATION RATES'!$D$20&lt;='MPLH COMPS'!$C$13),'MPLH COMPS'!$F$13&amp;" - "&amp;'MPLH COMPS'!$G$13,
""))))))))))))))))))))))</f>
        <v/>
      </c>
      <c r="J16" s="85"/>
      <c r="K16" s="159" t="str">
        <f>IF(AND(K13="CONVENTIONAL SYSTEM",'PARTICIPATION RATES'!$F$20&gt;='MPLH COMPS'!$B$3,'PARTICIPATION RATES'!$F$20&lt;='MPLH COMPS'!$C$3),'MPLH COMPS'!$D$3&amp;" - "&amp;'MPLH COMPS'!$E$3,
IF(AND(K13="CONVENTIONAL SYSTEM",'PARTICIPATION RATES'!$F$20&gt;='MPLH COMPS'!$B$4,'PARTICIPATION RATES'!$F$20&lt;='MPLH COMPS'!$C$4),'MPLH COMPS'!$D$4&amp;" - "&amp;'MPLH COMPS'!$E$4,
IF(AND(K13="CONVENTIONAL SYSTEM",'PARTICIPATION RATES'!$F$20&gt;='MPLH COMPS'!$B$5,'PARTICIPATION RATES'!$F$20&lt;='MPLH COMPS'!$C$5),'MPLH COMPS'!$D$5&amp;" - "&amp;'MPLH COMPS'!$E$5,
IF(AND(K13="CONVENTIONAL SYSTEM",'PARTICIPATION RATES'!$F$20&gt;='MPLH COMPS'!$B$6,'PARTICIPATION RATES'!$F$20&lt;='MPLH COMPS'!$C$6),'MPLH COMPS'!$D$6&amp;" - "&amp;'MPLH COMPS'!$E$6,
IF(AND(K13="CONVENTIONAL SYSTEM",'PARTICIPATION RATES'!$F$20&gt;='MPLH COMPS'!$B$7,'PARTICIPATION RATES'!$F$20&lt;='MPLH COMPS'!$C$7),'MPLH COMPS'!$D$7&amp;" - "&amp;'MPLH COMPS'!$E$7,
IF(AND(K13="CONVENTIONAL SYSTEM",'PARTICIPATION RATES'!$F$20&gt;='MPLH COMPS'!$B$8,'PARTICIPATION RATES'!$F$20&lt;='MPLH COMPS'!$C$8),'MPLH COMPS'!$D$8&amp;" - "&amp;'MPLH COMPS'!$E$8,
IF(AND(K13="CONVENTIONAL SYSTEM",'PARTICIPATION RATES'!$F$20&gt;='MPLH COMPS'!$B$9,'PARTICIPATION RATES'!$F$20&lt;='MPLH COMPS'!$C$9),'MPLH COMPS'!$D$9&amp;" - "&amp;'MPLH COMPS'!$E$9,
IF(AND(K13="CONVENTIONAL SYSTEM",'PARTICIPATION RATES'!$F$20&gt;='MPLH COMPS'!$B$10,'PARTICIPATION RATES'!$F$20&lt;='MPLH COMPS'!$C$10),'MPLH COMPS'!$D$10&amp;" - "&amp;'MPLH COMPS'!$E$10,
IF(AND(K13="CONVENTIONAL SYSTEM",'PARTICIPATION RATES'!$F$20&gt;='MPLH COMPS'!$B$11,'PARTICIPATION RATES'!$F$20&lt;='MPLH COMPS'!$C$11),'MPLH COMPS'!$D$11&amp;" - "&amp;'MPLH COMPS'!$E$11,
IF(AND(K13="CONVENTIONAL SYSTEM",'PARTICIPATION RATES'!$F$20&gt;='MPLH COMPS'!$B$12,'PARTICIPATION RATES'!$F$20&lt;='MPLH COMPS'!$C$12),'MPLH COMPS'!$D$12&amp;" - "&amp;'MPLH COMPS'!$E$12,
IF(AND(K13="CONVENTIONAL SYSTEM",'PARTICIPATION RATES'!$F$20&gt;='MPLH COMPS'!$B$13,'PARTICIPATION RATES'!$F$20&lt;='MPLH COMPS'!$C$13),'MPLH COMPS'!$D$13&amp;" - "&amp;'MPLH COMPS'!$E$13,
IF(AND(K13="CONVENIENCE SYSTEM",'PARTICIPATION RATES'!$F$20&gt;='MPLH COMPS'!$B$3,'PARTICIPATION RATES'!$F$20&lt;='MPLH COMPS'!$C$3),'MPLH COMPS'!$F$3&amp;" - "&amp;'MPLH COMPS'!$G$3,
IF(AND(K13="CONVENIENCE SYSTEM",'PARTICIPATION RATES'!$F$20&gt;='MPLH COMPS'!$B$4,'PARTICIPATION RATES'!$F$20&lt;='MPLH COMPS'!$C$4),'MPLH COMPS'!$F$4&amp;" - "&amp;'MPLH COMPS'!$G$4,
IF(AND(K13="CONVENIENCE SYSTEM",'PARTICIPATION RATES'!$F$20&gt;='MPLH COMPS'!$B$5,'PARTICIPATION RATES'!$F$20&lt;='MPLH COMPS'!$C$5),'MPLH COMPS'!$F$5&amp;" - "&amp;'MPLH COMPS'!$G$5,
IF(AND(K13="CONVENIENCE SYSTEM",'PARTICIPATION RATES'!$F$20&gt;='MPLH COMPS'!$B$6,'PARTICIPATION RATES'!$F$20&lt;='MPLH COMPS'!$C$6),'MPLH COMPS'!$F$6&amp;" - "&amp;'MPLH COMPS'!$G$6,
IF(AND(K13="CONVENIENCE SYSTEM",'PARTICIPATION RATES'!$F$20&gt;='MPLH COMPS'!$B$7,'PARTICIPATION RATES'!$F$20&lt;='MPLH COMPS'!$C$7),'MPLH COMPS'!$F$7&amp;" - "&amp;'MPLH COMPS'!$G$7,
IF(AND(K13="CONVENIENCE SYSTEM",'PARTICIPATION RATES'!$F$20&gt;='MPLH COMPS'!$B$8,'PARTICIPATION RATES'!$F$20&lt;='MPLH COMPS'!$C$8),'MPLH COMPS'!$F$8&amp;" - "&amp;'MPLH COMPS'!$G$8,
IF(AND(K13="CONVENIENCE SYSTEM",'PARTICIPATION RATES'!$F$20&gt;='MPLH COMPS'!$B$9,'PARTICIPATION RATES'!$F$20&lt;='MPLH COMPS'!$C$9),'MPLH COMPS'!$F$9&amp;" - "&amp;'MPLH COMPS'!$G$9,
IF(AND(K13="CONVENIENCE SYSTEM",'PARTICIPATION RATES'!$F$20&gt;='MPLH COMPS'!$B$10,'PARTICIPATION RATES'!$F$20&lt;='MPLH COMPS'!$C$10),'MPLH COMPS'!$F$10&amp;" - "&amp;'MPLH COMPS'!$G$10,
IF(AND(K13="CONVENIENCE SYSTEM",'PARTICIPATION RATES'!$F$20&gt;='MPLH COMPS'!$B$11,'PARTICIPATION RATES'!$F$20&lt;='MPLH COMPS'!$C$11),'MPLH COMPS'!$F$11&amp;" - "&amp;'MPLH COMPS'!$G$11,
IF(AND(K13="CONVENIENCE SYSTEM",'PARTICIPATION RATES'!$F$20&gt;='MPLH COMPS'!$B$12,'PARTICIPATION RATES'!$F$20&lt;='MPLH COMPS'!$C$12),'MPLH COMPS'!$F$12&amp;" - "&amp;'MPLH COMPS'!$G$12,
IF(AND(K13="CONVENIENCE SYSTEM",'PARTICIPATION RATES'!$F$20&gt;='MPLH COMPS'!$B$13,'PARTICIPATION RATES'!$F$20&lt;='MPLH COMPS'!$C$13),'MPLH COMPS'!$F$13&amp;" - "&amp;'MPLH COMPS'!$G$13,
""))))))))))))))))))))))</f>
        <v/>
      </c>
      <c r="L16" s="160" t="str">
        <f>IF(AND(L13="CONVENTIONAL SYSTEM",'PARTICIPATION RATES'!$G$20&gt;='MPLH COMPS'!$B$3,'PARTICIPATION RATES'!$G$20&lt;='MPLH COMPS'!$C$3),'MPLH COMPS'!$D$3&amp;" - "&amp;'MPLH COMPS'!$E$3,
IF(AND(L13="CONVENTIONAL SYSTEM",'PARTICIPATION RATES'!$G$20&gt;='MPLH COMPS'!$B$4,'PARTICIPATION RATES'!$G$20&lt;='MPLH COMPS'!$C$4),'MPLH COMPS'!$D$4&amp;" - "&amp;'MPLH COMPS'!$E$4,
IF(AND(L13="CONVENTIONAL SYSTEM",'PARTICIPATION RATES'!$G$20&gt;='MPLH COMPS'!$B$5,'PARTICIPATION RATES'!$G$20&lt;='MPLH COMPS'!$C$5),'MPLH COMPS'!$D$5&amp;" - "&amp;'MPLH COMPS'!$E$5,
IF(AND(L13="CONVENTIONAL SYSTEM",'PARTICIPATION RATES'!$G$20&gt;='MPLH COMPS'!$B$6,'PARTICIPATION RATES'!$G$20&lt;='MPLH COMPS'!$C$6),'MPLH COMPS'!$D$6&amp;" - "&amp;'MPLH COMPS'!$E$6,
IF(AND(L13="CONVENTIONAL SYSTEM",'PARTICIPATION RATES'!$G$20&gt;='MPLH COMPS'!$B$7,'PARTICIPATION RATES'!$G$20&lt;='MPLH COMPS'!$C$7),'MPLH COMPS'!$D$7&amp;" - "&amp;'MPLH COMPS'!$E$7,
IF(AND(L13="CONVENTIONAL SYSTEM",'PARTICIPATION RATES'!$G$20&gt;='MPLH COMPS'!$B$8,'PARTICIPATION RATES'!$G$20&lt;='MPLH COMPS'!$C$8),'MPLH COMPS'!$D$8&amp;" - "&amp;'MPLH COMPS'!$E$8,
IF(AND(L13="CONVENTIONAL SYSTEM",'PARTICIPATION RATES'!$G$20&gt;='MPLH COMPS'!$B$9,'PARTICIPATION RATES'!$G$20&lt;='MPLH COMPS'!$C$9),'MPLH COMPS'!$D$9&amp;" - "&amp;'MPLH COMPS'!$E$9,
IF(AND(L13="CONVENTIONAL SYSTEM",'PARTICIPATION RATES'!$G$20&gt;='MPLH COMPS'!$B$10,'PARTICIPATION RATES'!$G$20&lt;='MPLH COMPS'!$C$10),'MPLH COMPS'!$D$10&amp;" - "&amp;'MPLH COMPS'!$E$10,
IF(AND(L13="CONVENTIONAL SYSTEM",'PARTICIPATION RATES'!$G$20&gt;='MPLH COMPS'!$B$11,'PARTICIPATION RATES'!$G$20&lt;='MPLH COMPS'!$C$11),'MPLH COMPS'!$D$11&amp;" - "&amp;'MPLH COMPS'!$E$11,
IF(AND(L13="CONVENTIONAL SYSTEM",'PARTICIPATION RATES'!$G$20&gt;='MPLH COMPS'!$B$12,'PARTICIPATION RATES'!$G$20&lt;='MPLH COMPS'!$C$12),'MPLH COMPS'!$D$12&amp;" - "&amp;'MPLH COMPS'!$E$12,
IF(AND(L13="CONVENTIONAL SYSTEM",'PARTICIPATION RATES'!$G$20&gt;='MPLH COMPS'!$B$13,'PARTICIPATION RATES'!$G$20&lt;='MPLH COMPS'!$C$13),'MPLH COMPS'!$D$13&amp;" - "&amp;'MPLH COMPS'!$E$13,
IF(AND(L13="CONVENIENCE SYSTEM",'PARTICIPATION RATES'!$G$20&gt;='MPLH COMPS'!$B$3,'PARTICIPATION RATES'!$G$20&lt;='MPLH COMPS'!$C$3),'MPLH COMPS'!$F$3&amp;" - "&amp;'MPLH COMPS'!$G$3,
IF(AND(L13="CONVENIENCE SYSTEM",'PARTICIPATION RATES'!$G$20&gt;='MPLH COMPS'!$B$4,'PARTICIPATION RATES'!$G$20&lt;='MPLH COMPS'!$C$4),'MPLH COMPS'!$F$4&amp;" - "&amp;'MPLH COMPS'!$G$4,
IF(AND(L13="CONVENIENCE SYSTEM",'PARTICIPATION RATES'!$G$20&gt;='MPLH COMPS'!$B$5,'PARTICIPATION RATES'!$G$20&lt;='MPLH COMPS'!$C$5),'MPLH COMPS'!$F$5&amp;" - "&amp;'MPLH COMPS'!$G$5,
IF(AND(L13="CONVENIENCE SYSTEM",'PARTICIPATION RATES'!$G$20&gt;='MPLH COMPS'!$B$6,'PARTICIPATION RATES'!$G$20&lt;='MPLH COMPS'!$C$6),'MPLH COMPS'!$F$6&amp;" - "&amp;'MPLH COMPS'!$G$6,
IF(AND(L13="CONVENIENCE SYSTEM",'PARTICIPATION RATES'!$G$20&gt;='MPLH COMPS'!$B$7,'PARTICIPATION RATES'!$G$20&lt;='MPLH COMPS'!$C$7),'MPLH COMPS'!$F$7&amp;" - "&amp;'MPLH COMPS'!$G$7,
IF(AND(L13="CONVENIENCE SYSTEM",'PARTICIPATION RATES'!$G$20&gt;='MPLH COMPS'!$B$8,'PARTICIPATION RATES'!$G$20&lt;='MPLH COMPS'!$C$8),'MPLH COMPS'!$F$8&amp;" - "&amp;'MPLH COMPS'!$G$8,
IF(AND(L13="CONVENIENCE SYSTEM",'PARTICIPATION RATES'!$G$20&gt;='MPLH COMPS'!$B$9,'PARTICIPATION RATES'!$G$20&lt;='MPLH COMPS'!$C$9),'MPLH COMPS'!$F$9&amp;" - "&amp;'MPLH COMPS'!$G$9,
IF(AND(L13="CONVENIENCE SYSTEM",'PARTICIPATION RATES'!$G$20&gt;='MPLH COMPS'!$B$10,'PARTICIPATION RATES'!$G$20&lt;='MPLH COMPS'!$C$10),'MPLH COMPS'!$F$10&amp;" - "&amp;'MPLH COMPS'!$G$10,
IF(AND(L13="CONVENIENCE SYSTEM",'PARTICIPATION RATES'!$G$20&gt;='MPLH COMPS'!$B$11,'PARTICIPATION RATES'!$G$20&lt;='MPLH COMPS'!$C$11),'MPLH COMPS'!$F$11&amp;" - "&amp;'MPLH COMPS'!$G$11,
IF(AND(L13="CONVENIENCE SYSTEM",'PARTICIPATION RATES'!$G$20&gt;='MPLH COMPS'!$B$12,'PARTICIPATION RATES'!$G$20&lt;='MPLH COMPS'!$C$12),'MPLH COMPS'!$F$12&amp;" - "&amp;'MPLH COMPS'!$G$12,
IF(AND(L13="CONVENIENCE SYSTEM",'PARTICIPATION RATES'!$G$20&gt;='MPLH COMPS'!$B$13,'PARTICIPATION RATES'!$G$20&lt;='MPLH COMPS'!$C$13),'MPLH COMPS'!$F$13&amp;" - "&amp;'MPLH COMPS'!$G$13,
""))))))))))))))))))))))</f>
        <v/>
      </c>
    </row>
    <row r="17" spans="2:16" ht="25.25" customHeight="1" x14ac:dyDescent="0.2">
      <c r="B17" s="65" t="s">
        <v>145</v>
      </c>
      <c r="C17" s="78">
        <v>0</v>
      </c>
      <c r="D17" s="85"/>
      <c r="E17" s="78">
        <v>0</v>
      </c>
      <c r="F17" s="310">
        <v>0</v>
      </c>
      <c r="H17" s="65" t="s">
        <v>145</v>
      </c>
      <c r="I17" s="78">
        <v>0</v>
      </c>
      <c r="J17" s="85"/>
      <c r="K17" s="78">
        <v>0</v>
      </c>
      <c r="L17" s="310">
        <v>0</v>
      </c>
      <c r="N17" s="25"/>
      <c r="O17" s="25"/>
      <c r="P17" s="25"/>
    </row>
    <row r="18" spans="2:16" ht="25.25" customHeight="1" x14ac:dyDescent="0.2">
      <c r="B18" s="65" t="s">
        <v>167</v>
      </c>
      <c r="C18" s="216">
        <f>('REIMBURSEMENTS AND REVENUES'!$C$19*C$14*C$17*'ADMIN LABOR ASSUMPTIONS'!$C$25)+('REIMBURSEMENTS AND REVENUES'!$C$19*C$14*C$17*'ADMIN LABOR ASSUMPTIONS'!$C$26)</f>
        <v>0</v>
      </c>
      <c r="D18" s="85"/>
      <c r="E18" s="217">
        <f>('REIMBURSEMENTS AND REVENUES'!$C$19*E$14*E$17*'ADMIN LABOR ASSUMPTIONS'!$C$25)+('REIMBURSEMENTS AND REVENUES'!$C$19*E$14*E$17*'ADMIN LABOR ASSUMPTIONS'!$C$26)</f>
        <v>0</v>
      </c>
      <c r="F18" s="218">
        <f>('REIMBURSEMENTS AND REVENUES'!$C$19*F$14*F$17*'ADMIN LABOR ASSUMPTIONS'!$C$25)+('REIMBURSEMENTS AND REVENUES'!$C$19*F$14*F$17*'ADMIN LABOR ASSUMPTIONS'!$C$26)</f>
        <v>0</v>
      </c>
      <c r="H18" s="65" t="s">
        <v>167</v>
      </c>
      <c r="I18" s="216">
        <f>('REIMBURSEMENTS AND REVENUES'!$C$19*I$14*I$17*'ADMIN LABOR ASSUMPTIONS'!$C$25)+('REIMBURSEMENTS AND REVENUES'!$C$19*I$14*I$17*'ADMIN LABOR ASSUMPTIONS'!$C$26)</f>
        <v>0</v>
      </c>
      <c r="J18" s="85"/>
      <c r="K18" s="217">
        <f>('REIMBURSEMENTS AND REVENUES'!$C$19*K$14*K$17*'ADMIN LABOR ASSUMPTIONS'!$C$25)+('REIMBURSEMENTS AND REVENUES'!$C$19*K$14*K$17*'ADMIN LABOR ASSUMPTIONS'!$C$26)</f>
        <v>0</v>
      </c>
      <c r="L18" s="218">
        <f>('REIMBURSEMENTS AND REVENUES'!$C$19*L$14*L$17*'ADMIN LABOR ASSUMPTIONS'!$C$25)+('REIMBURSEMENTS AND REVENUES'!$C$19*L$14*L$17*'ADMIN LABOR ASSUMPTIONS'!$C$26)</f>
        <v>0</v>
      </c>
      <c r="N18" s="25"/>
      <c r="O18" s="25"/>
      <c r="P18" s="25"/>
    </row>
    <row r="19" spans="2:16" ht="26.5" customHeight="1" x14ac:dyDescent="0.2">
      <c r="B19" s="67" t="s">
        <v>147</v>
      </c>
      <c r="C19" s="161">
        <f>('REIMBURSEMENTS AND REVENUES'!$C$19*C$14*C$17)+C$18</f>
        <v>0</v>
      </c>
      <c r="D19" s="118"/>
      <c r="E19" s="162">
        <f>('REIMBURSEMENTS AND REVENUES'!$C$19*E$14*E$17)+E$18</f>
        <v>0</v>
      </c>
      <c r="F19" s="163">
        <f>('REIMBURSEMENTS AND REVENUES'!$C$19*F$14*F$17)+F$18</f>
        <v>0</v>
      </c>
      <c r="H19" s="67" t="s">
        <v>147</v>
      </c>
      <c r="I19" s="161">
        <f>('REIMBURSEMENTS AND REVENUES'!$C$19*I$14*I$17)+I$18</f>
        <v>0</v>
      </c>
      <c r="J19" s="118"/>
      <c r="K19" s="162">
        <f>('REIMBURSEMENTS AND REVENUES'!$C$19*K$14*K$17)+K$18</f>
        <v>0</v>
      </c>
      <c r="L19" s="163">
        <f>('REIMBURSEMENTS AND REVENUES'!$C$19*L$14*L$17)+L$18</f>
        <v>0</v>
      </c>
      <c r="N19" s="329" t="s">
        <v>68</v>
      </c>
      <c r="O19" s="329"/>
      <c r="P19" s="329"/>
    </row>
    <row r="20" spans="2:16" ht="13.5" customHeight="1" x14ac:dyDescent="0.2">
      <c r="B20" s="164"/>
      <c r="F20" s="25"/>
    </row>
    <row r="21" spans="2:16" ht="26.5" customHeight="1" x14ac:dyDescent="0.2">
      <c r="F21" s="25"/>
    </row>
    <row r="22" spans="2:16" ht="26.5" customHeight="1" x14ac:dyDescent="0.2">
      <c r="B22" s="156"/>
    </row>
    <row r="23" spans="2:16" ht="26.5" customHeight="1" x14ac:dyDescent="0.2">
      <c r="B23" s="157"/>
    </row>
  </sheetData>
  <sheetProtection sheet="1" selectLockedCells="1"/>
  <mergeCells count="7">
    <mergeCell ref="N19:P19"/>
    <mergeCell ref="N12:P12"/>
    <mergeCell ref="E2:F2"/>
    <mergeCell ref="K2:L2"/>
    <mergeCell ref="Q2:R2"/>
    <mergeCell ref="E11:F11"/>
    <mergeCell ref="K11:L11"/>
  </mergeCells>
  <dataValidations count="2">
    <dataValidation type="list" allowBlank="1" showInputMessage="1" showErrorMessage="1" sqref="C4 E4:F4 C13 E13:F13 I4 K4:L4 I13 K13:L13" xr:uid="{90F398C1-098E-44EA-8D05-FEBAD7E42F7D}">
      <formula1>"CONVENTIONAL SYSTEM,CONVENIENCE SYSTEM"</formula1>
    </dataValidation>
    <dataValidation type="decimal" allowBlank="1" showInputMessage="1" showErrorMessage="1" sqref="E17:F17 K8:L8 C8 I17 I8 C17 E8:F8 K17:L17" xr:uid="{55F710A5-733E-41C8-8AE1-D9A2C16BB246}">
      <formula1>0</formula1>
      <formula2>100</formula2>
    </dataValidation>
  </dataValidations>
  <hyperlinks>
    <hyperlink ref="N12" location="'FOOD &amp; MATERIALS EXPENSE'!C4" display="CLICK HERE TO RETURN TO THE PREVIOUS PAGE" xr:uid="{3A222C0C-68D7-4ACF-895C-62D3C7C8F327}"/>
    <hyperlink ref="N19" location="'ADMIN LABOR ASSUMPTIONS'!D3" display="CLICK HERE TO ADVANCE TO THE NEXT PAGE" xr:uid="{296123BF-93B9-44C9-AFE9-842BF9616796}"/>
    <hyperlink ref="N12:P12" location="'ADMIN LABOR ASSUMPTIONS'!C3" display="CLICK HERE TO RETURN TO THE PREVIOUS PAGE" xr:uid="{3023E467-537F-4B3B-AFFB-C72F1C26AAD2}"/>
    <hyperlink ref="N19:P19" location="'OTHER EXPENSES'!C5" display="CLICK HERE TO ADVANCE TO THE NEXT PAGE" xr:uid="{967F89A5-3FDB-40EE-A904-A41CB018C793}"/>
  </hyperlinks>
  <pageMargins left="0.7" right="0.7" top="0.75" bottom="0.75" header="0.3" footer="0.3"/>
  <pageSetup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53B71-6986-42AB-9133-FE5D30FDF214}">
  <dimension ref="B1:G21"/>
  <sheetViews>
    <sheetView zoomScale="80" zoomScaleNormal="80" workbookViewId="0">
      <selection activeCell="F9" sqref="F9:G9"/>
    </sheetView>
  </sheetViews>
  <sheetFormatPr baseColWidth="10" defaultColWidth="9.1640625" defaultRowHeight="15" x14ac:dyDescent="0.2"/>
  <cols>
    <col min="1" max="1" width="9.1640625" style="143"/>
    <col min="2" max="2" width="9.1640625" style="142"/>
    <col min="3" max="3" width="9.1640625" style="142" bestFit="1" customWidth="1"/>
    <col min="4" max="7" width="9.5" style="143" customWidth="1"/>
    <col min="8" max="16384" width="9.1640625" style="143"/>
  </cols>
  <sheetData>
    <row r="1" spans="2:7" ht="36.75" customHeight="1" x14ac:dyDescent="0.2">
      <c r="B1" s="338" t="s">
        <v>87</v>
      </c>
      <c r="C1" s="338"/>
      <c r="D1" s="337" t="s">
        <v>88</v>
      </c>
      <c r="E1" s="337"/>
      <c r="F1" s="337" t="s">
        <v>89</v>
      </c>
      <c r="G1" s="337"/>
    </row>
    <row r="2" spans="2:7" ht="16" x14ac:dyDescent="0.2">
      <c r="B2" s="150" t="s">
        <v>2</v>
      </c>
      <c r="C2" s="150" t="s">
        <v>3</v>
      </c>
      <c r="D2" s="151" t="s">
        <v>2</v>
      </c>
      <c r="E2" s="151" t="s">
        <v>3</v>
      </c>
      <c r="F2" s="151" t="s">
        <v>2</v>
      </c>
      <c r="G2" s="151" t="s">
        <v>3</v>
      </c>
    </row>
    <row r="3" spans="2:7" x14ac:dyDescent="0.2">
      <c r="B3" s="152">
        <v>1</v>
      </c>
      <c r="C3" s="153">
        <v>100</v>
      </c>
      <c r="D3" s="146">
        <v>8</v>
      </c>
      <c r="E3" s="147">
        <v>10</v>
      </c>
      <c r="F3" s="146">
        <v>10</v>
      </c>
      <c r="G3" s="147">
        <v>12</v>
      </c>
    </row>
    <row r="4" spans="2:7" x14ac:dyDescent="0.2">
      <c r="B4" s="152">
        <v>101</v>
      </c>
      <c r="C4" s="153">
        <v>150</v>
      </c>
      <c r="D4" s="146">
        <v>9</v>
      </c>
      <c r="E4" s="147">
        <v>11</v>
      </c>
      <c r="F4" s="146">
        <v>11</v>
      </c>
      <c r="G4" s="147">
        <v>13</v>
      </c>
    </row>
    <row r="5" spans="2:7" x14ac:dyDescent="0.2">
      <c r="B5" s="152">
        <v>151</v>
      </c>
      <c r="C5" s="153">
        <v>200</v>
      </c>
      <c r="D5" s="146">
        <v>10</v>
      </c>
      <c r="E5" s="147">
        <v>12</v>
      </c>
      <c r="F5" s="146">
        <v>12</v>
      </c>
      <c r="G5" s="147">
        <v>14</v>
      </c>
    </row>
    <row r="6" spans="2:7" x14ac:dyDescent="0.2">
      <c r="B6" s="152">
        <v>201</v>
      </c>
      <c r="C6" s="153">
        <v>250</v>
      </c>
      <c r="D6" s="146">
        <v>12</v>
      </c>
      <c r="E6" s="147">
        <v>14</v>
      </c>
      <c r="F6" s="146">
        <v>14</v>
      </c>
      <c r="G6" s="147">
        <v>15</v>
      </c>
    </row>
    <row r="7" spans="2:7" x14ac:dyDescent="0.2">
      <c r="B7" s="152">
        <v>251</v>
      </c>
      <c r="C7" s="153">
        <v>300</v>
      </c>
      <c r="D7" s="146">
        <v>13</v>
      </c>
      <c r="E7" s="147">
        <v>15</v>
      </c>
      <c r="F7" s="146">
        <v>15</v>
      </c>
      <c r="G7" s="147">
        <v>16</v>
      </c>
    </row>
    <row r="8" spans="2:7" x14ac:dyDescent="0.2">
      <c r="B8" s="152">
        <v>301</v>
      </c>
      <c r="C8" s="153">
        <v>400</v>
      </c>
      <c r="D8" s="146">
        <v>14</v>
      </c>
      <c r="E8" s="147">
        <v>16</v>
      </c>
      <c r="F8" s="146">
        <v>16</v>
      </c>
      <c r="G8" s="147">
        <v>18</v>
      </c>
    </row>
    <row r="9" spans="2:7" x14ac:dyDescent="0.2">
      <c r="B9" s="152">
        <v>401</v>
      </c>
      <c r="C9" s="153">
        <v>500</v>
      </c>
      <c r="D9" s="146">
        <v>14</v>
      </c>
      <c r="E9" s="147">
        <v>17</v>
      </c>
      <c r="F9" s="146">
        <v>18</v>
      </c>
      <c r="G9" s="147">
        <v>19</v>
      </c>
    </row>
    <row r="10" spans="2:7" x14ac:dyDescent="0.2">
      <c r="B10" s="152">
        <v>501</v>
      </c>
      <c r="C10" s="153">
        <v>600</v>
      </c>
      <c r="D10" s="146">
        <v>15</v>
      </c>
      <c r="E10" s="147">
        <v>17</v>
      </c>
      <c r="F10" s="146">
        <v>18</v>
      </c>
      <c r="G10" s="147">
        <v>19</v>
      </c>
    </row>
    <row r="11" spans="2:7" x14ac:dyDescent="0.2">
      <c r="B11" s="152">
        <v>601</v>
      </c>
      <c r="C11" s="153">
        <v>700</v>
      </c>
      <c r="D11" s="146">
        <v>16</v>
      </c>
      <c r="E11" s="147">
        <v>18</v>
      </c>
      <c r="F11" s="146">
        <v>19</v>
      </c>
      <c r="G11" s="147">
        <v>20</v>
      </c>
    </row>
    <row r="12" spans="2:7" x14ac:dyDescent="0.2">
      <c r="B12" s="152">
        <v>701</v>
      </c>
      <c r="C12" s="153">
        <v>800</v>
      </c>
      <c r="D12" s="146">
        <v>17</v>
      </c>
      <c r="E12" s="147">
        <v>19</v>
      </c>
      <c r="F12" s="146">
        <v>20</v>
      </c>
      <c r="G12" s="147">
        <v>22</v>
      </c>
    </row>
    <row r="13" spans="2:7" x14ac:dyDescent="0.2">
      <c r="B13" s="154">
        <v>801</v>
      </c>
      <c r="C13" s="155">
        <v>1000000</v>
      </c>
      <c r="D13" s="148">
        <v>18</v>
      </c>
      <c r="E13" s="149">
        <v>20</v>
      </c>
      <c r="F13" s="148">
        <v>21</v>
      </c>
      <c r="G13" s="149">
        <v>23</v>
      </c>
    </row>
    <row r="16" spans="2:7" x14ac:dyDescent="0.2">
      <c r="B16" s="1" t="s">
        <v>90</v>
      </c>
    </row>
    <row r="17" spans="2:2" x14ac:dyDescent="0.2">
      <c r="B17" s="145" t="s">
        <v>91</v>
      </c>
    </row>
    <row r="18" spans="2:2" x14ac:dyDescent="0.2">
      <c r="B18" s="145" t="s">
        <v>92</v>
      </c>
    </row>
    <row r="20" spans="2:2" x14ac:dyDescent="0.2">
      <c r="B20" s="144" t="s">
        <v>93</v>
      </c>
    </row>
    <row r="21" spans="2:2" x14ac:dyDescent="0.2">
      <c r="B21" s="145"/>
    </row>
  </sheetData>
  <mergeCells count="3">
    <mergeCell ref="D1:E1"/>
    <mergeCell ref="F1:G1"/>
    <mergeCell ref="B1:C1"/>
  </mergeCells>
  <phoneticPr fontId="18" type="noConversion"/>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8449F-43C9-4DA4-A924-C8775C499906}">
  <dimension ref="B1:L19"/>
  <sheetViews>
    <sheetView zoomScale="80" zoomScaleNormal="80" workbookViewId="0">
      <selection activeCell="B13" sqref="B13"/>
    </sheetView>
  </sheetViews>
  <sheetFormatPr baseColWidth="10" defaultColWidth="8.83203125" defaultRowHeight="26.5" customHeight="1" x14ac:dyDescent="0.2"/>
  <cols>
    <col min="1" max="1" width="8.83203125" style="17"/>
    <col min="2" max="2" width="53.33203125" style="28" customWidth="1"/>
    <col min="3" max="3" width="11.5" style="28" customWidth="1"/>
    <col min="4" max="4" width="2" style="28" customWidth="1"/>
    <col min="5" max="6" width="11.5" style="16" customWidth="1"/>
    <col min="7" max="8" width="8.83203125" style="17"/>
    <col min="9" max="12" width="10.5" style="17" customWidth="1"/>
    <col min="13" max="16384" width="8.83203125" style="17"/>
  </cols>
  <sheetData>
    <row r="1" spans="2:6" ht="26.5" customHeight="1" x14ac:dyDescent="0.2">
      <c r="B1" s="185" t="s">
        <v>112</v>
      </c>
    </row>
    <row r="2" spans="2:6" ht="26.5" customHeight="1" x14ac:dyDescent="0.2">
      <c r="C2" s="63"/>
      <c r="D2" s="63"/>
      <c r="E2" s="339"/>
      <c r="F2" s="339"/>
    </row>
    <row r="3" spans="2:6" ht="32" x14ac:dyDescent="0.2">
      <c r="B3" s="17"/>
      <c r="C3" s="171" t="s">
        <v>98</v>
      </c>
      <c r="D3" s="17"/>
      <c r="E3" s="331" t="s">
        <v>99</v>
      </c>
      <c r="F3" s="332"/>
    </row>
    <row r="4" spans="2:6" ht="26.5" customHeight="1" x14ac:dyDescent="0.2">
      <c r="B4" s="317" t="s">
        <v>45</v>
      </c>
      <c r="C4" s="96" t="s">
        <v>78</v>
      </c>
      <c r="D4" s="167"/>
      <c r="E4" s="140" t="s">
        <v>50</v>
      </c>
      <c r="F4" s="107" t="s">
        <v>47</v>
      </c>
    </row>
    <row r="5" spans="2:6" ht="26.5" customHeight="1" x14ac:dyDescent="0.2">
      <c r="B5" s="169" t="s">
        <v>110</v>
      </c>
      <c r="C5" s="316">
        <v>0</v>
      </c>
      <c r="D5" s="226"/>
      <c r="E5" s="319">
        <v>0</v>
      </c>
      <c r="F5" s="307"/>
    </row>
    <row r="6" spans="2:6" ht="26.5" customHeight="1" x14ac:dyDescent="0.2">
      <c r="B6" s="169" t="s">
        <v>111</v>
      </c>
      <c r="C6" s="316">
        <v>0</v>
      </c>
      <c r="D6" s="226"/>
      <c r="E6" s="166">
        <v>0</v>
      </c>
      <c r="F6" s="166">
        <v>0</v>
      </c>
    </row>
    <row r="7" spans="2:6" ht="26.5" customHeight="1" x14ac:dyDescent="0.2">
      <c r="B7" s="169" t="s">
        <v>161</v>
      </c>
      <c r="C7" s="316">
        <v>0</v>
      </c>
      <c r="D7" s="226"/>
      <c r="E7" s="166">
        <v>0</v>
      </c>
      <c r="F7" s="166">
        <v>0</v>
      </c>
    </row>
    <row r="8" spans="2:6" ht="26.5" customHeight="1" x14ac:dyDescent="0.2">
      <c r="B8" s="169" t="s">
        <v>162</v>
      </c>
      <c r="C8" s="316">
        <v>0</v>
      </c>
      <c r="D8" s="226"/>
      <c r="E8" s="166">
        <v>0</v>
      </c>
      <c r="F8" s="166">
        <v>0</v>
      </c>
    </row>
    <row r="9" spans="2:6" ht="26.5" customHeight="1" x14ac:dyDescent="0.2">
      <c r="B9" s="169" t="s">
        <v>160</v>
      </c>
      <c r="C9" s="316">
        <v>0</v>
      </c>
      <c r="D9" s="226"/>
      <c r="E9" s="166">
        <v>0</v>
      </c>
      <c r="F9" s="166">
        <v>0</v>
      </c>
    </row>
    <row r="10" spans="2:6" ht="26.5" customHeight="1" x14ac:dyDescent="0.2">
      <c r="B10" s="314" t="s">
        <v>48</v>
      </c>
      <c r="C10" s="316">
        <v>0</v>
      </c>
      <c r="D10" s="226"/>
      <c r="E10" s="166">
        <v>0</v>
      </c>
      <c r="F10" s="166">
        <v>0</v>
      </c>
    </row>
    <row r="11" spans="2:6" ht="26.5" customHeight="1" x14ac:dyDescent="0.2">
      <c r="B11" s="314" t="s">
        <v>48</v>
      </c>
      <c r="C11" s="316">
        <v>0</v>
      </c>
      <c r="D11" s="226"/>
      <c r="E11" s="166">
        <v>0</v>
      </c>
      <c r="F11" s="166">
        <v>0</v>
      </c>
    </row>
    <row r="12" spans="2:6" ht="26.5" customHeight="1" x14ac:dyDescent="0.2">
      <c r="B12" s="314" t="s">
        <v>48</v>
      </c>
      <c r="C12" s="316">
        <v>0</v>
      </c>
      <c r="D12" s="226"/>
      <c r="E12" s="166">
        <v>0</v>
      </c>
      <c r="F12" s="166">
        <v>0</v>
      </c>
    </row>
    <row r="13" spans="2:6" ht="26.5" customHeight="1" x14ac:dyDescent="0.2">
      <c r="B13" s="314" t="s">
        <v>48</v>
      </c>
      <c r="C13" s="316">
        <v>0</v>
      </c>
      <c r="D13" s="226"/>
      <c r="E13" s="166">
        <v>0</v>
      </c>
      <c r="F13" s="166">
        <v>0</v>
      </c>
    </row>
    <row r="14" spans="2:6" ht="26.5" customHeight="1" x14ac:dyDescent="0.2">
      <c r="B14" s="318" t="s">
        <v>78</v>
      </c>
      <c r="C14" s="179">
        <f>SUM(C5:C10)</f>
        <v>0</v>
      </c>
      <c r="D14" s="186"/>
      <c r="E14" s="315">
        <f>SUM(E5:E10)</f>
        <v>0</v>
      </c>
      <c r="F14" s="179">
        <f>SUM(F5:F10)</f>
        <v>0</v>
      </c>
    </row>
    <row r="19" spans="2:12" ht="26.5" customHeight="1" x14ac:dyDescent="0.2">
      <c r="B19" s="221" t="s">
        <v>77</v>
      </c>
      <c r="C19" s="222"/>
      <c r="D19" s="222"/>
      <c r="E19" s="17"/>
      <c r="F19" s="17"/>
      <c r="I19" s="329" t="s">
        <v>68</v>
      </c>
      <c r="J19" s="329"/>
      <c r="K19" s="329"/>
      <c r="L19" s="329"/>
    </row>
  </sheetData>
  <sheetProtection sheet="1" selectLockedCells="1"/>
  <mergeCells count="3">
    <mergeCell ref="I19:L19"/>
    <mergeCell ref="E2:F2"/>
    <mergeCell ref="E3:F3"/>
  </mergeCells>
  <hyperlinks>
    <hyperlink ref="B19" location="'ADMIN LABOR ASSUMPTIONS'!D3" display="CLICK HERE TO RETURN TO THE PREVIOUS PAGE" xr:uid="{4FEC9B3D-C611-4839-8F86-55195062FBD5}"/>
    <hyperlink ref="I19" location="'DISTRICT ENROLLMENT'!A1" display="CLICK HERE TO ADVANCE TO THE NEXT PAGE" xr:uid="{E0838905-3EEE-49E4-901D-90C716509D0B}"/>
    <hyperlink ref="I19:K19" location="'PARTICIPATION RATES'!C3" display="CLICK HERE TO ADVANCE TO THE NEXT PAGE" xr:uid="{F089CE6E-4F70-459B-B4E3-1A618E5E2A2C}"/>
    <hyperlink ref="I19:L19" location="'DETAILED COMPARATIVE P&amp;L'!B1" display="CLICK HERE TO ADVANCE TO THE NEXT PAGE" xr:uid="{8C092A85-4A49-4450-B022-D94AF9C16972}"/>
  </hyperlink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D8FD3-BAA1-4519-A956-51A06EA50E9A}">
  <dimension ref="B1:M100"/>
  <sheetViews>
    <sheetView zoomScale="80" zoomScaleNormal="80" workbookViewId="0">
      <selection activeCell="I8" sqref="I8"/>
    </sheetView>
  </sheetViews>
  <sheetFormatPr baseColWidth="10" defaultColWidth="8.83203125" defaultRowHeight="26.5" customHeight="1" x14ac:dyDescent="0.2"/>
  <cols>
    <col min="1" max="1" width="8.83203125" style="17"/>
    <col min="2" max="2" width="55" style="28" customWidth="1"/>
    <col min="3" max="3" width="17.5" style="28" customWidth="1"/>
    <col min="4" max="4" width="2.1640625" style="28" customWidth="1"/>
    <col min="5" max="6" width="17.5" style="16" customWidth="1"/>
    <col min="7" max="10" width="8.83203125" style="17"/>
    <col min="11" max="11" width="9.5" style="17" customWidth="1"/>
    <col min="12" max="16384" width="8.83203125" style="17"/>
  </cols>
  <sheetData>
    <row r="1" spans="2:13" ht="26.5" customHeight="1" x14ac:dyDescent="0.2">
      <c r="B1" s="108" t="s">
        <v>44</v>
      </c>
      <c r="C1" s="171" t="s">
        <v>98</v>
      </c>
      <c r="D1" s="17"/>
      <c r="E1" s="331" t="s">
        <v>99</v>
      </c>
      <c r="F1" s="332"/>
    </row>
    <row r="2" spans="2:13" ht="26.5" customHeight="1" x14ac:dyDescent="0.2">
      <c r="B2" s="246" t="str">
        <f>"REIMBURSEMENTS: "&amp;ENROLLMENT!B2</f>
        <v>REIMBURSEMENTS: SCHOOL TYPE #1</v>
      </c>
      <c r="C2" s="248" t="s">
        <v>78</v>
      </c>
      <c r="D2" s="262"/>
      <c r="E2" s="251" t="s">
        <v>50</v>
      </c>
      <c r="F2" s="197" t="s">
        <v>47</v>
      </c>
      <c r="I2" s="333" t="s">
        <v>77</v>
      </c>
      <c r="J2" s="333"/>
      <c r="K2" s="333"/>
      <c r="L2" s="333"/>
      <c r="M2" s="333"/>
    </row>
    <row r="3" spans="2:13" ht="26.5" customHeight="1" x14ac:dyDescent="0.2">
      <c r="B3" s="169" t="s">
        <v>4</v>
      </c>
      <c r="C3" s="249">
        <f>(('REIMBURSEMENTS AND REVENUES'!$E$6*
ROUND('PARTICIPATION RATES'!D$4*'PARTICIPATION RATES'!D$5,0))+
('REIMBURSEMENTS AND REVENUES'!$E$7*
ROUND('PARTICIPATION RATES'!D$4*'PARTICIPATION RATES'!D$5,0))+
('REIMBURSEMENTS AND REVENUES'!$E$8*
ROUND('PARTICIPATION RATES'!D$4*'PARTICIPATION RATES'!D$5,0)))*
'REIMBURSEMENTS AND REVENUES'!$C$19</f>
        <v>0</v>
      </c>
      <c r="D3" s="198"/>
      <c r="E3" s="252">
        <f>(('REIMBURSEMENTS AND REVENUES'!$E$6*
ROUND('PARTICIPATION RATES'!F$4*'PARTICIPATION RATES'!F$5,0))+
('REIMBURSEMENTS AND REVENUES'!$E$7*
ROUND('PARTICIPATION RATES'!F$4*'PARTICIPATION RATES'!F$5,0))+
('REIMBURSEMENTS AND REVENUES'!$E$8*
ROUND('PARTICIPATION RATES'!F$4*'PARTICIPATION RATES'!F$5,0)))*
'REIMBURSEMENTS AND REVENUES'!$C$19</f>
        <v>0</v>
      </c>
      <c r="F3" s="199">
        <f>(('REIMBURSEMENTS AND REVENUES'!$E$6*
ROUND('PARTICIPATION RATES'!G$4*'PARTICIPATION RATES'!G$5,0))+
('REIMBURSEMENTS AND REVENUES'!$E$7*
ROUND('PARTICIPATION RATES'!G$4*'PARTICIPATION RATES'!G$5,0))+
('REIMBURSEMENTS AND REVENUES'!$E$8*
ROUND('PARTICIPATION RATES'!G$4*'PARTICIPATION RATES'!G$5,0)))*
'REIMBURSEMENTS AND REVENUES'!$C$19</f>
        <v>0</v>
      </c>
    </row>
    <row r="4" spans="2:13" ht="26.5" customHeight="1" x14ac:dyDescent="0.2">
      <c r="B4" s="169" t="s">
        <v>60</v>
      </c>
      <c r="C4" s="249">
        <f>(('REIMBURSEMENTS AND REVENUES'!$J$6*
ROUND('PARTICIPATION RATES'!D$4*'PARTICIPATION RATES'!D$6,0))+
('REIMBURSEMENTS AND REVENUES'!$J$7*
ROUND('PARTICIPATION RATES'!D$4*'PARTICIPATION RATES'!D$6,0))+
('REIMBURSEMENTS AND REVENUES'!$J$8*
ROUND('PARTICIPATION RATES'!D$4*'PARTICIPATION RATES'!D$6,0)))*
'REIMBURSEMENTS AND REVENUES'!$C$19</f>
        <v>0</v>
      </c>
      <c r="D4" s="198"/>
      <c r="E4" s="252">
        <f>(('REIMBURSEMENTS AND REVENUES'!$J$6*
ROUND('PARTICIPATION RATES'!F$4*'PARTICIPATION RATES'!F$6,0))+
('REIMBURSEMENTS AND REVENUES'!$J$7*
ROUND('PARTICIPATION RATES'!F$4*'PARTICIPATION RATES'!F$6,0))+
('REIMBURSEMENTS AND REVENUES'!$J$8*
ROUND('PARTICIPATION RATES'!F$4*'PARTICIPATION RATES'!F$6,0)))*
'REIMBURSEMENTS AND REVENUES'!$C$19</f>
        <v>0</v>
      </c>
      <c r="F4" s="199">
        <f>(('REIMBURSEMENTS AND REVENUES'!$J$6*
ROUND('PARTICIPATION RATES'!G$4*'PARTICIPATION RATES'!G$6,0))+
('REIMBURSEMENTS AND REVENUES'!$J$7*
ROUND('PARTICIPATION RATES'!G$4*'PARTICIPATION RATES'!G$6,0))+
('REIMBURSEMENTS AND REVENUES'!$J$8*
ROUND('PARTICIPATION RATES'!G$4*'PARTICIPATION RATES'!G$6,0)))*
'REIMBURSEMENTS AND REVENUES'!$C$19</f>
        <v>0</v>
      </c>
      <c r="I4" s="329" t="s">
        <v>68</v>
      </c>
      <c r="J4" s="329"/>
      <c r="K4" s="329"/>
      <c r="L4" s="329"/>
      <c r="M4" s="329"/>
    </row>
    <row r="5" spans="2:13" ht="26.5" customHeight="1" x14ac:dyDescent="0.2">
      <c r="B5" s="169" t="s">
        <v>5</v>
      </c>
      <c r="C5" s="249">
        <f>(('REIMBURSEMENTS AND REVENUES'!$E$14*
ROUND('PARTICIPATION RATES'!D$4*'PARTICIPATION RATES'!D$7,0))+
('REIMBURSEMENTS AND REVENUES'!$E$15*
ROUND('PARTICIPATION RATES'!D$4*'PARTICIPATION RATES'!D$7,0))+
('REIMBURSEMENTS AND REVENUES'!$E$16*
ROUND('PARTICIPATION RATES'!D$4*'PARTICIPATION RATES'!D$7,0)))*
'REIMBURSEMENTS AND REVENUES'!$C$19</f>
        <v>0</v>
      </c>
      <c r="D5" s="198"/>
      <c r="E5" s="252">
        <f>(('REIMBURSEMENTS AND REVENUES'!$E$14*
ROUND('PARTICIPATION RATES'!F$4*'PARTICIPATION RATES'!F$7,0))+
('REIMBURSEMENTS AND REVENUES'!$E$15*
ROUND('PARTICIPATION RATES'!F$4*'PARTICIPATION RATES'!F$7,0))+
('REIMBURSEMENTS AND REVENUES'!$E$16*
ROUND('PARTICIPATION RATES'!F$4*'PARTICIPATION RATES'!F$7,0)))*
'REIMBURSEMENTS AND REVENUES'!$C$19</f>
        <v>0</v>
      </c>
      <c r="F5" s="199">
        <f>(('REIMBURSEMENTS AND REVENUES'!$E$14*
ROUND('PARTICIPATION RATES'!G$4*'PARTICIPATION RATES'!G$7,0))+
('REIMBURSEMENTS AND REVENUES'!$E$15*
ROUND('PARTICIPATION RATES'!G$4*'PARTICIPATION RATES'!G$7,0))+
('REIMBURSEMENTS AND REVENUES'!$E$16*
ROUND('PARTICIPATION RATES'!G$4*'PARTICIPATION RATES'!G$7,0)))*
'REIMBURSEMENTS AND REVENUES'!$C$19</f>
        <v>0</v>
      </c>
    </row>
    <row r="6" spans="2:13" ht="26.5" customHeight="1" x14ac:dyDescent="0.2">
      <c r="B6" s="169" t="s">
        <v>62</v>
      </c>
      <c r="C6" s="249">
        <f>(('REIMBURSEMENTS AND REVENUES'!$J$13*
ROUND('PARTICIPATION RATES'!D$4*'PARTICIPATION RATES'!D$8,0))+
('REIMBURSEMENTS AND REVENUES'!$J$14*
ROUND('PARTICIPATION RATES'!D$4*'PARTICIPATION RATES'!D$8,0))+
('REIMBURSEMENTS AND REVENUES'!$J$15*
ROUND('PARTICIPATION RATES'!D$4*'PARTICIPATION RATES'!D$8,0)))*
'REIMBURSEMENTS AND REVENUES'!$C$19</f>
        <v>0</v>
      </c>
      <c r="D6" s="198"/>
      <c r="E6" s="252">
        <f>(('REIMBURSEMENTS AND REVENUES'!$J$13*
ROUND('PARTICIPATION RATES'!F$4*'PARTICIPATION RATES'!F$8,0))+
('REIMBURSEMENTS AND REVENUES'!$J$14*
ROUND('PARTICIPATION RATES'!F$4*'PARTICIPATION RATES'!F$8,0))+
('REIMBURSEMENTS AND REVENUES'!$J$15*
ROUND('PARTICIPATION RATES'!F$4*'PARTICIPATION RATES'!F$8,0)))*
'REIMBURSEMENTS AND REVENUES'!$C$19</f>
        <v>0</v>
      </c>
      <c r="F6" s="199">
        <f>(('REIMBURSEMENTS AND REVENUES'!$J$13*
ROUND('PARTICIPATION RATES'!G$4*'PARTICIPATION RATES'!G$8,0))+
('REIMBURSEMENTS AND REVENUES'!$J$14*
ROUND('PARTICIPATION RATES'!G$4*'PARTICIPATION RATES'!G$8,0))+
('REIMBURSEMENTS AND REVENUES'!$J$15*
ROUND('PARTICIPATION RATES'!G$4*'PARTICIPATION RATES'!G$8,0)))*
'REIMBURSEMENTS AND REVENUES'!$C$19</f>
        <v>0</v>
      </c>
    </row>
    <row r="7" spans="2:13" ht="26.5" customHeight="1" x14ac:dyDescent="0.2">
      <c r="B7" s="247" t="str">
        <f>"TOTAL "&amp;ENROLLMENT!B2&amp;" REIMBURSEMENTS"</f>
        <v>TOTAL SCHOOL TYPE #1 REIMBURSEMENTS</v>
      </c>
      <c r="C7" s="250">
        <f>SUM(C3:C6)</f>
        <v>0</v>
      </c>
      <c r="D7" s="198"/>
      <c r="E7" s="253">
        <f t="shared" ref="E7:F7" si="0">SUM(E3:E6)</f>
        <v>0</v>
      </c>
      <c r="F7" s="200">
        <f t="shared" si="0"/>
        <v>0</v>
      </c>
    </row>
    <row r="8" spans="2:13" ht="5" customHeight="1" x14ac:dyDescent="0.2">
      <c r="B8" s="22"/>
      <c r="C8" s="198"/>
      <c r="D8" s="198"/>
      <c r="E8" s="198"/>
      <c r="F8" s="198"/>
    </row>
    <row r="9" spans="2:13" ht="26.5" customHeight="1" x14ac:dyDescent="0.2">
      <c r="B9" s="246" t="str">
        <f>"REIMBURSEMENTS: "&amp;ENROLLMENT!H2</f>
        <v>REIMBURSEMENTS: SCHOOL TYPE #2</v>
      </c>
      <c r="C9" s="248" t="s">
        <v>78</v>
      </c>
      <c r="D9" s="262"/>
      <c r="E9" s="251" t="s">
        <v>50</v>
      </c>
      <c r="F9" s="197" t="s">
        <v>47</v>
      </c>
    </row>
    <row r="10" spans="2:13" ht="26.5" customHeight="1" x14ac:dyDescent="0.2">
      <c r="B10" s="169" t="s">
        <v>4</v>
      </c>
      <c r="C10" s="249">
        <f>(('REIMBURSEMENTS AND REVENUES'!$E$6*
ROUND('PARTICIPATION RATES'!J$4*'PARTICIPATION RATES'!J$5,0))+
('REIMBURSEMENTS AND REVENUES'!$E$7*
ROUND('PARTICIPATION RATES'!J$4*'PARTICIPATION RATES'!J$5,0))+
('REIMBURSEMENTS AND REVENUES'!$E$8*
ROUND('PARTICIPATION RATES'!J$4*'PARTICIPATION RATES'!J$5,0)))*
'REIMBURSEMENTS AND REVENUES'!$C$19</f>
        <v>0</v>
      </c>
      <c r="D10" s="198"/>
      <c r="E10" s="252">
        <f>(('REIMBURSEMENTS AND REVENUES'!$E$6*
ROUND('PARTICIPATION RATES'!L$4*'PARTICIPATION RATES'!L$5,0))+
('REIMBURSEMENTS AND REVENUES'!$E$7*
ROUND('PARTICIPATION RATES'!L$4*'PARTICIPATION RATES'!L$5,0))+
('REIMBURSEMENTS AND REVENUES'!$E$8*
ROUND('PARTICIPATION RATES'!L$4*'PARTICIPATION RATES'!L$5,0)))*
'REIMBURSEMENTS AND REVENUES'!$C$19</f>
        <v>0</v>
      </c>
      <c r="F10" s="199">
        <f>(('REIMBURSEMENTS AND REVENUES'!$E$6*
ROUND('PARTICIPATION RATES'!M$4*'PARTICIPATION RATES'!M$5,0))+
('REIMBURSEMENTS AND REVENUES'!$E$7*
ROUND('PARTICIPATION RATES'!M$4*'PARTICIPATION RATES'!M$5,0))+
('REIMBURSEMENTS AND REVENUES'!$E$8*
ROUND('PARTICIPATION RATES'!M$4*'PARTICIPATION RATES'!M$5,0)))*
'REIMBURSEMENTS AND REVENUES'!$C$19</f>
        <v>0</v>
      </c>
    </row>
    <row r="11" spans="2:13" ht="26.5" customHeight="1" x14ac:dyDescent="0.2">
      <c r="B11" s="169" t="s">
        <v>60</v>
      </c>
      <c r="C11" s="249">
        <f>(('REIMBURSEMENTS AND REVENUES'!$J$6*
ROUND('PARTICIPATION RATES'!J$4*'PARTICIPATION RATES'!J$6,0))+
('REIMBURSEMENTS AND REVENUES'!$J$7*
ROUND('PARTICIPATION RATES'!J$4*'PARTICIPATION RATES'!J$6,0))+
('REIMBURSEMENTS AND REVENUES'!$J$8*
ROUND('PARTICIPATION RATES'!J$4*'PARTICIPATION RATES'!J$6,0)))*
'REIMBURSEMENTS AND REVENUES'!$C$19</f>
        <v>0</v>
      </c>
      <c r="D11" s="198"/>
      <c r="E11" s="252">
        <f>(('REIMBURSEMENTS AND REVENUES'!$J$6*
ROUND('PARTICIPATION RATES'!L$4*'PARTICIPATION RATES'!L$6,0))+
('REIMBURSEMENTS AND REVENUES'!$J$7*
ROUND('PARTICIPATION RATES'!L$4*'PARTICIPATION RATES'!L$6,0))+
('REIMBURSEMENTS AND REVENUES'!$J$8*
ROUND('PARTICIPATION RATES'!L$4*'PARTICIPATION RATES'!L$6,0)))*
'REIMBURSEMENTS AND REVENUES'!$C$19</f>
        <v>0</v>
      </c>
      <c r="F11" s="199">
        <f>(('REIMBURSEMENTS AND REVENUES'!$J$6*
ROUND('PARTICIPATION RATES'!M$4*'PARTICIPATION RATES'!M$6,0))+
('REIMBURSEMENTS AND REVENUES'!$J$7*
ROUND('PARTICIPATION RATES'!M$4*'PARTICIPATION RATES'!M$6,0))+
('REIMBURSEMENTS AND REVENUES'!$J$8*
ROUND('PARTICIPATION RATES'!M$4*'PARTICIPATION RATES'!M$6,0)))*
'REIMBURSEMENTS AND REVENUES'!$C$19</f>
        <v>0</v>
      </c>
    </row>
    <row r="12" spans="2:13" ht="26.5" customHeight="1" x14ac:dyDescent="0.2">
      <c r="B12" s="169" t="s">
        <v>5</v>
      </c>
      <c r="C12" s="249">
        <f>(('REIMBURSEMENTS AND REVENUES'!$E$14*
ROUND('PARTICIPATION RATES'!J$4*'PARTICIPATION RATES'!J$7,0))+
('REIMBURSEMENTS AND REVENUES'!$E$15*
ROUND('PARTICIPATION RATES'!J$4*'PARTICIPATION RATES'!J$7,0))+
('REIMBURSEMENTS AND REVENUES'!$E$16*
ROUND('PARTICIPATION RATES'!J$4*'PARTICIPATION RATES'!J$7,0)))*
'REIMBURSEMENTS AND REVENUES'!$C$19</f>
        <v>0</v>
      </c>
      <c r="D12" s="198"/>
      <c r="E12" s="252">
        <f>(('REIMBURSEMENTS AND REVENUES'!$E$14*
ROUND('PARTICIPATION RATES'!L$4*'PARTICIPATION RATES'!L$7,0))+
('REIMBURSEMENTS AND REVENUES'!$E$15*
ROUND('PARTICIPATION RATES'!L$4*'PARTICIPATION RATES'!L$7,0))+
('REIMBURSEMENTS AND REVENUES'!$E$16*
ROUND('PARTICIPATION RATES'!L$4*'PARTICIPATION RATES'!L$7,0)))*
'REIMBURSEMENTS AND REVENUES'!$C$19</f>
        <v>0</v>
      </c>
      <c r="F12" s="199">
        <f>(('REIMBURSEMENTS AND REVENUES'!$E$14*
ROUND('PARTICIPATION RATES'!M$4*'PARTICIPATION RATES'!M$7,0))+
('REIMBURSEMENTS AND REVENUES'!$E$15*
ROUND('PARTICIPATION RATES'!M$4*'PARTICIPATION RATES'!M$7,0))+
('REIMBURSEMENTS AND REVENUES'!$E$16*
ROUND('PARTICIPATION RATES'!M$4*'PARTICIPATION RATES'!M$7,0)))*
'REIMBURSEMENTS AND REVENUES'!$C$19</f>
        <v>0</v>
      </c>
    </row>
    <row r="13" spans="2:13" ht="26.5" customHeight="1" x14ac:dyDescent="0.2">
      <c r="B13" s="169" t="s">
        <v>62</v>
      </c>
      <c r="C13" s="249">
        <f>(('REIMBURSEMENTS AND REVENUES'!$J$13*
ROUND('PARTICIPATION RATES'!J$4*'PARTICIPATION RATES'!J$8,0))+
('REIMBURSEMENTS AND REVENUES'!$J$14*
ROUND('PARTICIPATION RATES'!J$4*'PARTICIPATION RATES'!J$8,0))+
('REIMBURSEMENTS AND REVENUES'!$J$15*
ROUND('PARTICIPATION RATES'!J$4*'PARTICIPATION RATES'!J$8,0)))*
'REIMBURSEMENTS AND REVENUES'!$C$19</f>
        <v>0</v>
      </c>
      <c r="D13" s="198"/>
      <c r="E13" s="252">
        <f>(('REIMBURSEMENTS AND REVENUES'!$J$13*
ROUND('PARTICIPATION RATES'!L$4*'PARTICIPATION RATES'!L$8,0))+
('REIMBURSEMENTS AND REVENUES'!$J$14*
ROUND('PARTICIPATION RATES'!L$4*'PARTICIPATION RATES'!L$8,0))+
('REIMBURSEMENTS AND REVENUES'!$J$15*
ROUND('PARTICIPATION RATES'!L$4*'PARTICIPATION RATES'!L$8,0)))*
'REIMBURSEMENTS AND REVENUES'!$C$19</f>
        <v>0</v>
      </c>
      <c r="F13" s="199">
        <f>(('REIMBURSEMENTS AND REVENUES'!$J$13*
ROUND('PARTICIPATION RATES'!M$4*'PARTICIPATION RATES'!M$8,0))+
('REIMBURSEMENTS AND REVENUES'!$J$14*
ROUND('PARTICIPATION RATES'!M$4*'PARTICIPATION RATES'!M$8,0))+
('REIMBURSEMENTS AND REVENUES'!$J$15*
ROUND('PARTICIPATION RATES'!M$4*'PARTICIPATION RATES'!M$8,0)))*
'REIMBURSEMENTS AND REVENUES'!$C$19</f>
        <v>0</v>
      </c>
    </row>
    <row r="14" spans="2:13" ht="26.5" customHeight="1" x14ac:dyDescent="0.2">
      <c r="B14" s="247" t="str">
        <f>"TOTAL "&amp;ENROLLMENT!H2&amp;" REIMBURSEMENTS"</f>
        <v>TOTAL SCHOOL TYPE #2 REIMBURSEMENTS</v>
      </c>
      <c r="C14" s="250">
        <f>SUM(C10:C13)</f>
        <v>0</v>
      </c>
      <c r="D14" s="198"/>
      <c r="E14" s="253">
        <f t="shared" ref="E14" si="1">SUM(E10:E13)</f>
        <v>0</v>
      </c>
      <c r="F14" s="200">
        <f t="shared" ref="F14" si="2">SUM(F10:F13)</f>
        <v>0</v>
      </c>
    </row>
    <row r="15" spans="2:13" ht="5" customHeight="1" x14ac:dyDescent="0.2">
      <c r="B15" s="22"/>
      <c r="C15" s="198"/>
      <c r="D15" s="198"/>
      <c r="E15" s="198"/>
      <c r="F15" s="198"/>
    </row>
    <row r="16" spans="2:13" ht="26.5" customHeight="1" x14ac:dyDescent="0.2">
      <c r="B16" s="246" t="str">
        <f>"REIMBURSEMENTS: "&amp;ENROLLMENT!B13</f>
        <v>REIMBURSEMENTS: SCHOOL TYPE #3</v>
      </c>
      <c r="C16" s="248" t="s">
        <v>78</v>
      </c>
      <c r="D16" s="262"/>
      <c r="E16" s="251" t="s">
        <v>50</v>
      </c>
      <c r="F16" s="197" t="s">
        <v>47</v>
      </c>
    </row>
    <row r="17" spans="2:6" ht="26.5" customHeight="1" x14ac:dyDescent="0.2">
      <c r="B17" s="169" t="s">
        <v>4</v>
      </c>
      <c r="C17" s="249">
        <f>(('REIMBURSEMENTS AND REVENUES'!$E$6*
ROUND('PARTICIPATION RATES'!D$14*'PARTICIPATION RATES'!D$15,0))+
('REIMBURSEMENTS AND REVENUES'!$E$7*
ROUND('PARTICIPATION RATES'!D$14*'PARTICIPATION RATES'!D$15,0))+
('REIMBURSEMENTS AND REVENUES'!$E$8*
ROUND('PARTICIPATION RATES'!D$14*'PARTICIPATION RATES'!D$15,0)))*
'REIMBURSEMENTS AND REVENUES'!$C$19</f>
        <v>0</v>
      </c>
      <c r="D17" s="198"/>
      <c r="E17" s="252">
        <f>(('REIMBURSEMENTS AND REVENUES'!$E$6*
ROUND('PARTICIPATION RATES'!F$14*'PARTICIPATION RATES'!F$15,0))+
('REIMBURSEMENTS AND REVENUES'!$E$7*
ROUND('PARTICIPATION RATES'!F$14*'PARTICIPATION RATES'!F$15,0))+
('REIMBURSEMENTS AND REVENUES'!$E$8*
ROUND('PARTICIPATION RATES'!F$14*'PARTICIPATION RATES'!F$15,0)))*
'REIMBURSEMENTS AND REVENUES'!$C$19</f>
        <v>0</v>
      </c>
      <c r="F17" s="199">
        <f>(('REIMBURSEMENTS AND REVENUES'!$E$6*
ROUND('PARTICIPATION RATES'!G$14*'PARTICIPATION RATES'!G$15,0))+
('REIMBURSEMENTS AND REVENUES'!$E$7*
ROUND('PARTICIPATION RATES'!G$14*'PARTICIPATION RATES'!G$15,0))+
('REIMBURSEMENTS AND REVENUES'!$E$8*
ROUND('PARTICIPATION RATES'!G$14*'PARTICIPATION RATES'!G$15,0)))*
'REIMBURSEMENTS AND REVENUES'!$C$19</f>
        <v>0</v>
      </c>
    </row>
    <row r="18" spans="2:6" ht="26.5" customHeight="1" x14ac:dyDescent="0.2">
      <c r="B18" s="169" t="s">
        <v>60</v>
      </c>
      <c r="C18" s="249">
        <f>(('REIMBURSEMENTS AND REVENUES'!$J$6*
ROUND('PARTICIPATION RATES'!D$14*'PARTICIPATION RATES'!D$16,0))+
('REIMBURSEMENTS AND REVENUES'!$J$7*
ROUND('PARTICIPATION RATES'!D$14*'PARTICIPATION RATES'!D$16,0))+
('REIMBURSEMENTS AND REVENUES'!$J$8*
ROUND('PARTICIPATION RATES'!D$14*'PARTICIPATION RATES'!D$16,0)))*
'REIMBURSEMENTS AND REVENUES'!$C$19</f>
        <v>0</v>
      </c>
      <c r="D18" s="198"/>
      <c r="E18" s="252">
        <f>(('REIMBURSEMENTS AND REVENUES'!$J$6*
ROUND('PARTICIPATION RATES'!F$14*'PARTICIPATION RATES'!F$16,0))+
('REIMBURSEMENTS AND REVENUES'!$J$7*
ROUND('PARTICIPATION RATES'!F$14*'PARTICIPATION RATES'!F$16,0))+
('REIMBURSEMENTS AND REVENUES'!$J$8*
ROUND('PARTICIPATION RATES'!F$14*'PARTICIPATION RATES'!F$16,0)))*
'REIMBURSEMENTS AND REVENUES'!$C$19</f>
        <v>0</v>
      </c>
      <c r="F18" s="199">
        <f>(('REIMBURSEMENTS AND REVENUES'!$J$6*
ROUND('PARTICIPATION RATES'!G$14*'PARTICIPATION RATES'!G$16,0))+
('REIMBURSEMENTS AND REVENUES'!$J$7*
ROUND('PARTICIPATION RATES'!G$14*'PARTICIPATION RATES'!G$16,0))+
('REIMBURSEMENTS AND REVENUES'!$J$8*
ROUND('PARTICIPATION RATES'!G$14*'PARTICIPATION RATES'!G$16,0)))*
'REIMBURSEMENTS AND REVENUES'!$C$19</f>
        <v>0</v>
      </c>
    </row>
    <row r="19" spans="2:6" ht="26.5" customHeight="1" x14ac:dyDescent="0.2">
      <c r="B19" s="169" t="s">
        <v>5</v>
      </c>
      <c r="C19" s="249">
        <f>(('REIMBURSEMENTS AND REVENUES'!$E$14*
ROUND('PARTICIPATION RATES'!D$14*'PARTICIPATION RATES'!D$17,0))+
('REIMBURSEMENTS AND REVENUES'!$E$15*
ROUND('PARTICIPATION RATES'!D$14*'PARTICIPATION RATES'!D$17,0))+
('REIMBURSEMENTS AND REVENUES'!$E$16*
ROUND('PARTICIPATION RATES'!D$14*'PARTICIPATION RATES'!D$17,0)))*
'REIMBURSEMENTS AND REVENUES'!$C$19</f>
        <v>0</v>
      </c>
      <c r="D19" s="198"/>
      <c r="E19" s="252">
        <f>(('REIMBURSEMENTS AND REVENUES'!$E$14*
ROUND('PARTICIPATION RATES'!F$14*'PARTICIPATION RATES'!F$17,0))+
('REIMBURSEMENTS AND REVENUES'!$E$15*
ROUND('PARTICIPATION RATES'!F$14*'PARTICIPATION RATES'!F$17,0))+
('REIMBURSEMENTS AND REVENUES'!$E$16*
ROUND('PARTICIPATION RATES'!F$14*'PARTICIPATION RATES'!F$17,0)))*
'REIMBURSEMENTS AND REVENUES'!$C$19</f>
        <v>0</v>
      </c>
      <c r="F19" s="199">
        <f>(('REIMBURSEMENTS AND REVENUES'!$E$14*
ROUND('PARTICIPATION RATES'!G$14*'PARTICIPATION RATES'!G$17,0))+
('REIMBURSEMENTS AND REVENUES'!$E$15*
ROUND('PARTICIPATION RATES'!G$14*'PARTICIPATION RATES'!G$17,0))+
('REIMBURSEMENTS AND REVENUES'!$E$16*
ROUND('PARTICIPATION RATES'!G$14*'PARTICIPATION RATES'!G$17,0)))*
'REIMBURSEMENTS AND REVENUES'!$C$19</f>
        <v>0</v>
      </c>
    </row>
    <row r="20" spans="2:6" ht="26.5" customHeight="1" x14ac:dyDescent="0.2">
      <c r="B20" s="169" t="s">
        <v>62</v>
      </c>
      <c r="C20" s="249">
        <f>(('REIMBURSEMENTS AND REVENUES'!$J$13*
ROUND('PARTICIPATION RATES'!D$14*'PARTICIPATION RATES'!D$18,0))+
('REIMBURSEMENTS AND REVENUES'!$J$14*
ROUND('PARTICIPATION RATES'!D$14*'PARTICIPATION RATES'!D$18,0))+
('REIMBURSEMENTS AND REVENUES'!$J$15*
ROUND('PARTICIPATION RATES'!D$14*'PARTICIPATION RATES'!D$18,0)))*
'REIMBURSEMENTS AND REVENUES'!$C$19</f>
        <v>0</v>
      </c>
      <c r="D20" s="198"/>
      <c r="E20" s="252">
        <f>(('REIMBURSEMENTS AND REVENUES'!$J$13*
ROUND('PARTICIPATION RATES'!F$14*'PARTICIPATION RATES'!F$18,0))+
('REIMBURSEMENTS AND REVENUES'!$J$14*
ROUND('PARTICIPATION RATES'!F$14*'PARTICIPATION RATES'!F$18,0))+
('REIMBURSEMENTS AND REVENUES'!$J$15*
ROUND('PARTICIPATION RATES'!F$14*'PARTICIPATION RATES'!F$18,0)))*
'REIMBURSEMENTS AND REVENUES'!$C$19</f>
        <v>0</v>
      </c>
      <c r="F20" s="199">
        <f>(('REIMBURSEMENTS AND REVENUES'!$J$13*
ROUND('PARTICIPATION RATES'!G$14*'PARTICIPATION RATES'!G$18,0))+
('REIMBURSEMENTS AND REVENUES'!$J$14*
ROUND('PARTICIPATION RATES'!G$14*'PARTICIPATION RATES'!G$18,0))+
('REIMBURSEMENTS AND REVENUES'!$J$15*
ROUND('PARTICIPATION RATES'!G$14*'PARTICIPATION RATES'!G$18,0)))*
'REIMBURSEMENTS AND REVENUES'!$C$19</f>
        <v>0</v>
      </c>
    </row>
    <row r="21" spans="2:6" ht="26.5" customHeight="1" x14ac:dyDescent="0.2">
      <c r="B21" s="247" t="str">
        <f>"TOTAL "&amp;ENROLLMENT!B13&amp;" REIMBURSEMENTS"</f>
        <v>TOTAL SCHOOL TYPE #3 REIMBURSEMENTS</v>
      </c>
      <c r="C21" s="250">
        <f>SUM(C17:C20)</f>
        <v>0</v>
      </c>
      <c r="D21" s="198"/>
      <c r="E21" s="253">
        <f t="shared" ref="E21" si="3">SUM(E17:E20)</f>
        <v>0</v>
      </c>
      <c r="F21" s="200">
        <f t="shared" ref="F21" si="4">SUM(F17:F20)</f>
        <v>0</v>
      </c>
    </row>
    <row r="22" spans="2:6" ht="5.25" customHeight="1" x14ac:dyDescent="0.2">
      <c r="B22" s="22"/>
      <c r="C22" s="198"/>
      <c r="D22" s="198"/>
      <c r="E22" s="198"/>
      <c r="F22" s="198"/>
    </row>
    <row r="23" spans="2:6" ht="26.5" customHeight="1" x14ac:dyDescent="0.2">
      <c r="B23" s="246" t="str">
        <f>"REIMBURSEMENTS: "&amp;ENROLLMENT!H13</f>
        <v>REIMBURSEMENTS: SCHOOL TYPE #4</v>
      </c>
      <c r="C23" s="248" t="s">
        <v>78</v>
      </c>
      <c r="D23" s="262"/>
      <c r="E23" s="251" t="s">
        <v>50</v>
      </c>
      <c r="F23" s="197" t="s">
        <v>47</v>
      </c>
    </row>
    <row r="24" spans="2:6" ht="26.5" customHeight="1" x14ac:dyDescent="0.2">
      <c r="B24" s="169" t="s">
        <v>4</v>
      </c>
      <c r="C24" s="249">
        <f>(('REIMBURSEMENTS AND REVENUES'!$E$6*
ROUND('PARTICIPATION RATES'!J$14*'PARTICIPATION RATES'!J$15,0))+
('REIMBURSEMENTS AND REVENUES'!$E$7*
ROUND('PARTICIPATION RATES'!J$14*'PARTICIPATION RATES'!J$15,0))+
('REIMBURSEMENTS AND REVENUES'!$E$8*
ROUND('PARTICIPATION RATES'!J$14*'PARTICIPATION RATES'!J$15,0)))*
'REIMBURSEMENTS AND REVENUES'!$C$19</f>
        <v>0</v>
      </c>
      <c r="D24" s="198"/>
      <c r="E24" s="252">
        <f>(('REIMBURSEMENTS AND REVENUES'!$E$6*
ROUND('PARTICIPATION RATES'!L$14*'PARTICIPATION RATES'!L$15,0))+
('REIMBURSEMENTS AND REVENUES'!$E$7*
ROUND('PARTICIPATION RATES'!L$14*'PARTICIPATION RATES'!L$15,0))+
('REIMBURSEMENTS AND REVENUES'!$E$8*
ROUND('PARTICIPATION RATES'!L$14*'PARTICIPATION RATES'!L$15,0)))*
'REIMBURSEMENTS AND REVENUES'!$C$19</f>
        <v>0</v>
      </c>
      <c r="F24" s="199">
        <f>(('REIMBURSEMENTS AND REVENUES'!$E$6*
ROUND('PARTICIPATION RATES'!M$14*'PARTICIPATION RATES'!M$15,0))+
('REIMBURSEMENTS AND REVENUES'!$E$7*
ROUND('PARTICIPATION RATES'!M$14*'PARTICIPATION RATES'!M$15,0))+
('REIMBURSEMENTS AND REVENUES'!$E$8*
ROUND('PARTICIPATION RATES'!M$14*'PARTICIPATION RATES'!M$15,0)))*
'REIMBURSEMENTS AND REVENUES'!$C$19</f>
        <v>0</v>
      </c>
    </row>
    <row r="25" spans="2:6" ht="26.5" customHeight="1" x14ac:dyDescent="0.2">
      <c r="B25" s="169" t="s">
        <v>60</v>
      </c>
      <c r="C25" s="249">
        <f>(('REIMBURSEMENTS AND REVENUES'!$J$6*
ROUND('PARTICIPATION RATES'!J$14*'PARTICIPATION RATES'!J$16,0))+
('REIMBURSEMENTS AND REVENUES'!$J$7*
ROUND('PARTICIPATION RATES'!J$14*'PARTICIPATION RATES'!J$16,0))+
('REIMBURSEMENTS AND REVENUES'!$J$8*
ROUND('PARTICIPATION RATES'!J$14*'PARTICIPATION RATES'!J$16,0)))*
'REIMBURSEMENTS AND REVENUES'!$C$19</f>
        <v>0</v>
      </c>
      <c r="D25" s="198"/>
      <c r="E25" s="252">
        <f>(('REIMBURSEMENTS AND REVENUES'!$J$6*
ROUND('PARTICIPATION RATES'!L$14*'PARTICIPATION RATES'!L$16,0))+
('REIMBURSEMENTS AND REVENUES'!$J$7*
ROUND('PARTICIPATION RATES'!L$14*'PARTICIPATION RATES'!L$16,0))+
('REIMBURSEMENTS AND REVENUES'!$J$8*
ROUND('PARTICIPATION RATES'!L$14*'PARTICIPATION RATES'!L$16,0)))*
'REIMBURSEMENTS AND REVENUES'!$C$19</f>
        <v>0</v>
      </c>
      <c r="F25" s="199">
        <f>(('REIMBURSEMENTS AND REVENUES'!$J$6*
ROUND('PARTICIPATION RATES'!M$14*'PARTICIPATION RATES'!M$16,0))+
('REIMBURSEMENTS AND REVENUES'!$J$7*
ROUND('PARTICIPATION RATES'!M$14*'PARTICIPATION RATES'!M$16,0))+
('REIMBURSEMENTS AND REVENUES'!$J$8*
ROUND('PARTICIPATION RATES'!M$14*'PARTICIPATION RATES'!M$16,0)))*
'REIMBURSEMENTS AND REVENUES'!$C$19</f>
        <v>0</v>
      </c>
    </row>
    <row r="26" spans="2:6" ht="26.5" customHeight="1" x14ac:dyDescent="0.2">
      <c r="B26" s="169" t="s">
        <v>5</v>
      </c>
      <c r="C26" s="249">
        <f>(('REIMBURSEMENTS AND REVENUES'!$E$14*
ROUND('PARTICIPATION RATES'!J$14*'PARTICIPATION RATES'!J$17,0))+
('REIMBURSEMENTS AND REVENUES'!$E$15*
ROUND('PARTICIPATION RATES'!J$14*'PARTICIPATION RATES'!J$17,0))+
('REIMBURSEMENTS AND REVENUES'!$E$16*
ROUND('PARTICIPATION RATES'!J$14*'PARTICIPATION RATES'!J$17,0)))*
'REIMBURSEMENTS AND REVENUES'!$C$19</f>
        <v>0</v>
      </c>
      <c r="D26" s="198"/>
      <c r="E26" s="252">
        <f>(('REIMBURSEMENTS AND REVENUES'!$E$14*
ROUND('PARTICIPATION RATES'!L$14*'PARTICIPATION RATES'!L$17,0))+
('REIMBURSEMENTS AND REVENUES'!$E$15*
ROUND('PARTICIPATION RATES'!L$14*'PARTICIPATION RATES'!L$17,0))+
('REIMBURSEMENTS AND REVENUES'!$E$16*
ROUND('PARTICIPATION RATES'!L$14*'PARTICIPATION RATES'!L$17,0)))*
'REIMBURSEMENTS AND REVENUES'!$C$19</f>
        <v>0</v>
      </c>
      <c r="F26" s="199">
        <f>(('REIMBURSEMENTS AND REVENUES'!$E$14*
ROUND('PARTICIPATION RATES'!M$14*'PARTICIPATION RATES'!M$17,0))+
('REIMBURSEMENTS AND REVENUES'!$E$15*
ROUND('PARTICIPATION RATES'!M$14*'PARTICIPATION RATES'!M$17,0))+
('REIMBURSEMENTS AND REVENUES'!$E$16*
ROUND('PARTICIPATION RATES'!M$14*'PARTICIPATION RATES'!M$17,0)))*
'REIMBURSEMENTS AND REVENUES'!$C$19</f>
        <v>0</v>
      </c>
    </row>
    <row r="27" spans="2:6" ht="26.5" customHeight="1" x14ac:dyDescent="0.2">
      <c r="B27" s="169" t="s">
        <v>62</v>
      </c>
      <c r="C27" s="249">
        <f>(('REIMBURSEMENTS AND REVENUES'!$J$13*
ROUND('PARTICIPATION RATES'!J$14*'PARTICIPATION RATES'!J$18,0))+
('REIMBURSEMENTS AND REVENUES'!$J$14*
ROUND('PARTICIPATION RATES'!J$14*'PARTICIPATION RATES'!J$18,0))+
('REIMBURSEMENTS AND REVENUES'!$J$15*
ROUND('PARTICIPATION RATES'!J$14*'PARTICIPATION RATES'!J$18,0)))*
'REIMBURSEMENTS AND REVENUES'!$C$19</f>
        <v>0</v>
      </c>
      <c r="D27" s="198"/>
      <c r="E27" s="252">
        <f>(('REIMBURSEMENTS AND REVENUES'!$J$13*
ROUND('PARTICIPATION RATES'!L$14*'PARTICIPATION RATES'!L$18,0))+
('REIMBURSEMENTS AND REVENUES'!$J$14*
ROUND('PARTICIPATION RATES'!L$14*'PARTICIPATION RATES'!L$18,0))+
('REIMBURSEMENTS AND REVENUES'!$J$15*
ROUND('PARTICIPATION RATES'!L$14*'PARTICIPATION RATES'!L$18,0)))*
'REIMBURSEMENTS AND REVENUES'!$C$19</f>
        <v>0</v>
      </c>
      <c r="F27" s="199">
        <f>(('REIMBURSEMENTS AND REVENUES'!$J$13*
ROUND('PARTICIPATION RATES'!M$14*'PARTICIPATION RATES'!M$18,0))+
('REIMBURSEMENTS AND REVENUES'!$J$14*
ROUND('PARTICIPATION RATES'!M$14*'PARTICIPATION RATES'!M$18,0))+
('REIMBURSEMENTS AND REVENUES'!$J$15*
ROUND('PARTICIPATION RATES'!M$14*'PARTICIPATION RATES'!M$18,0)))*
'REIMBURSEMENTS AND REVENUES'!$C$19</f>
        <v>0</v>
      </c>
    </row>
    <row r="28" spans="2:6" ht="26.5" customHeight="1" x14ac:dyDescent="0.2">
      <c r="B28" s="247" t="str">
        <f>"TOTAL "&amp;ENROLLMENT!H13&amp;" REIMBURSEMENTS"</f>
        <v>TOTAL SCHOOL TYPE #4 REIMBURSEMENTS</v>
      </c>
      <c r="C28" s="250">
        <f>SUM('DETAILED COMPARATIVE P&amp;L'!C24:C27)</f>
        <v>0</v>
      </c>
      <c r="D28" s="198"/>
      <c r="E28" s="253">
        <f>SUM('DETAILED COMPARATIVE P&amp;L'!E24:E27)</f>
        <v>0</v>
      </c>
      <c r="F28" s="200">
        <f>SUM('DETAILED COMPARATIVE P&amp;L'!F24:F27)</f>
        <v>0</v>
      </c>
    </row>
    <row r="29" spans="2:6" ht="26.5" customHeight="1" x14ac:dyDescent="0.2">
      <c r="B29" s="187"/>
      <c r="C29" s="198"/>
      <c r="D29" s="198"/>
      <c r="E29" s="198"/>
      <c r="F29" s="198"/>
    </row>
    <row r="30" spans="2:6" ht="5" customHeight="1" x14ac:dyDescent="0.2">
      <c r="B30" s="22"/>
      <c r="C30" s="198"/>
      <c r="D30" s="198"/>
      <c r="E30" s="198"/>
      <c r="F30" s="198"/>
    </row>
    <row r="31" spans="2:6" ht="26.5" customHeight="1" x14ac:dyDescent="0.2">
      <c r="B31" s="246" t="str">
        <f>"ALA CARTE &amp; MEAL SALES: "&amp;ENROLLMENT!B2</f>
        <v>ALA CARTE &amp; MEAL SALES: SCHOOL TYPE #1</v>
      </c>
      <c r="C31" s="248" t="s">
        <v>78</v>
      </c>
      <c r="D31" s="262"/>
      <c r="E31" s="251" t="s">
        <v>50</v>
      </c>
      <c r="F31" s="197" t="s">
        <v>47</v>
      </c>
    </row>
    <row r="32" spans="2:6" ht="26.5" customHeight="1" x14ac:dyDescent="0.2">
      <c r="B32" s="169" t="s">
        <v>4</v>
      </c>
      <c r="C32" s="249">
        <f>'REIMBURSEMENTS AND REVENUES'!$C$9*
ROUND('PARTICIPATION RATES'!D$4*'PARTICIPATION RATES'!D$5,0)*
'REIMBURSEMENTS AND REVENUES'!$C$19</f>
        <v>0</v>
      </c>
      <c r="D32" s="198"/>
      <c r="E32" s="252">
        <f>'REIMBURSEMENTS AND REVENUES'!$C$9*
ROUND('PARTICIPATION RATES'!F$4*'PARTICIPATION RATES'!F$5,0)*
'REIMBURSEMENTS AND REVENUES'!$C$19</f>
        <v>0</v>
      </c>
      <c r="F32" s="199"/>
    </row>
    <row r="33" spans="2:6" ht="26.5" customHeight="1" x14ac:dyDescent="0.2">
      <c r="B33" s="169" t="s">
        <v>5</v>
      </c>
      <c r="C33" s="249">
        <f>'REIMBURSEMENTS AND REVENUES'!$C$17*
ROUND('PARTICIPATION RATES'!D$4*'PARTICIPATION RATES'!D$7,0)*
'REIMBURSEMENTS AND REVENUES'!$C$19</f>
        <v>0</v>
      </c>
      <c r="D33" s="198"/>
      <c r="E33" s="252">
        <f>'REIMBURSEMENTS AND REVENUES'!$C$17*
ROUND('PARTICIPATION RATES'!F$4*'PARTICIPATION RATES'!F$7,0)*
'REIMBURSEMENTS AND REVENUES'!$C$19</f>
        <v>0</v>
      </c>
      <c r="F33" s="199"/>
    </row>
    <row r="34" spans="2:6" ht="26.5" customHeight="1" x14ac:dyDescent="0.2">
      <c r="B34" s="169" t="s">
        <v>105</v>
      </c>
      <c r="C34" s="249">
        <f>'REIMBURSEMENTS AND REVENUES'!$H$9*
ROUND('PARTICIPATION RATES'!D$4*'PARTICIPATION RATES'!D$9,0)*
'REIMBURSEMENTS AND REVENUES'!$C$19</f>
        <v>0</v>
      </c>
      <c r="D34" s="198"/>
      <c r="E34" s="252">
        <f>'REIMBURSEMENTS AND REVENUES'!$H$9*
ROUND('PARTICIPATION RATES'!F$4*'PARTICIPATION RATES'!F$9,0)*
'REIMBURSEMENTS AND REVENUES'!$C$19</f>
        <v>0</v>
      </c>
      <c r="F34" s="199">
        <f>'REIMBURSEMENTS AND REVENUES'!$H$9*
ROUND('PARTICIPATION RATES'!G$4*'PARTICIPATION RATES'!G$9,0)*
'REIMBURSEMENTS AND REVENUES'!$C$19</f>
        <v>0</v>
      </c>
    </row>
    <row r="35" spans="2:6" ht="26.5" customHeight="1" x14ac:dyDescent="0.2">
      <c r="B35" s="247" t="str">
        <f>ENROLLMENT!B2&amp;" SALES TOTAL"</f>
        <v>SCHOOL TYPE #1 SALES TOTAL</v>
      </c>
      <c r="C35" s="250">
        <f>SUM(C32:C34)</f>
        <v>0</v>
      </c>
      <c r="D35" s="198"/>
      <c r="E35" s="253">
        <f>SUM(E32:E34)</f>
        <v>0</v>
      </c>
      <c r="F35" s="200">
        <f>SUM(F32:F34)</f>
        <v>0</v>
      </c>
    </row>
    <row r="36" spans="2:6" ht="5" customHeight="1" x14ac:dyDescent="0.2">
      <c r="C36" s="201"/>
      <c r="D36" s="201"/>
      <c r="E36" s="202"/>
      <c r="F36" s="202"/>
    </row>
    <row r="37" spans="2:6" ht="26.5" customHeight="1" x14ac:dyDescent="0.2">
      <c r="B37" s="246" t="str">
        <f>"ALA CARTE &amp; MEAL SALES: "&amp;ENROLLMENT!H2</f>
        <v>ALA CARTE &amp; MEAL SALES: SCHOOL TYPE #2</v>
      </c>
      <c r="C37" s="248" t="s">
        <v>78</v>
      </c>
      <c r="D37" s="262"/>
      <c r="E37" s="251" t="s">
        <v>50</v>
      </c>
      <c r="F37" s="197" t="s">
        <v>47</v>
      </c>
    </row>
    <row r="38" spans="2:6" ht="26.5" customHeight="1" x14ac:dyDescent="0.2">
      <c r="B38" s="169" t="s">
        <v>4</v>
      </c>
      <c r="C38" s="249">
        <f>'REIMBURSEMENTS AND REVENUES'!$C$9*
ROUND('PARTICIPATION RATES'!J$4*'PARTICIPATION RATES'!J$5,0)*
'REIMBURSEMENTS AND REVENUES'!$C$19</f>
        <v>0</v>
      </c>
      <c r="D38" s="198"/>
      <c r="E38" s="252">
        <f>'REIMBURSEMENTS AND REVENUES'!$C$9*
ROUND('PARTICIPATION RATES'!L$4*'PARTICIPATION RATES'!L$5,0)*
'REIMBURSEMENTS AND REVENUES'!$C$19</f>
        <v>0</v>
      </c>
      <c r="F38" s="199"/>
    </row>
    <row r="39" spans="2:6" ht="26.5" customHeight="1" x14ac:dyDescent="0.2">
      <c r="B39" s="169" t="s">
        <v>5</v>
      </c>
      <c r="C39" s="249">
        <f>'REIMBURSEMENTS AND REVENUES'!$C$17*
ROUND('PARTICIPATION RATES'!J$4*'PARTICIPATION RATES'!J$7,0)*
'REIMBURSEMENTS AND REVENUES'!$C$19</f>
        <v>0</v>
      </c>
      <c r="D39" s="198"/>
      <c r="E39" s="252">
        <f>'REIMBURSEMENTS AND REVENUES'!$C$17*
ROUND('PARTICIPATION RATES'!L$4*'PARTICIPATION RATES'!L$7,0)*
'REIMBURSEMENTS AND REVENUES'!$C$19</f>
        <v>0</v>
      </c>
      <c r="F39" s="199"/>
    </row>
    <row r="40" spans="2:6" ht="26.5" customHeight="1" x14ac:dyDescent="0.2">
      <c r="B40" s="169" t="s">
        <v>105</v>
      </c>
      <c r="C40" s="249">
        <f>'REIMBURSEMENTS AND REVENUES'!$H$9*
ROUND('PARTICIPATION RATES'!J$4*'PARTICIPATION RATES'!J$9,0)*
'REIMBURSEMENTS AND REVENUES'!$C$19</f>
        <v>0</v>
      </c>
      <c r="D40" s="198"/>
      <c r="E40" s="252">
        <f>'REIMBURSEMENTS AND REVENUES'!$H$9*
ROUND('PARTICIPATION RATES'!L$4*'PARTICIPATION RATES'!L$9,0)*
'REIMBURSEMENTS AND REVENUES'!$C$19</f>
        <v>0</v>
      </c>
      <c r="F40" s="199">
        <f>'REIMBURSEMENTS AND REVENUES'!$H$9*
ROUND('PARTICIPATION RATES'!M$4*'PARTICIPATION RATES'!M$9,0)*
'REIMBURSEMENTS AND REVENUES'!$C$19</f>
        <v>0</v>
      </c>
    </row>
    <row r="41" spans="2:6" ht="26.5" customHeight="1" x14ac:dyDescent="0.2">
      <c r="B41" s="247" t="str">
        <f>ENROLLMENT!H2&amp;" SALES TOTAL"</f>
        <v>SCHOOL TYPE #2 SALES TOTAL</v>
      </c>
      <c r="C41" s="250">
        <f>SUM(C38:C40)</f>
        <v>0</v>
      </c>
      <c r="D41" s="198"/>
      <c r="E41" s="253">
        <f>SUM(E38:E40)</f>
        <v>0</v>
      </c>
      <c r="F41" s="200">
        <f>SUM(F38:F40)</f>
        <v>0</v>
      </c>
    </row>
    <row r="42" spans="2:6" ht="5" customHeight="1" x14ac:dyDescent="0.2">
      <c r="C42" s="201"/>
      <c r="D42" s="201"/>
      <c r="E42" s="202"/>
      <c r="F42" s="202"/>
    </row>
    <row r="43" spans="2:6" ht="26.5" customHeight="1" x14ac:dyDescent="0.2">
      <c r="B43" s="246" t="str">
        <f>"ALA CARTE &amp; MEAL SALES: "&amp;ENROLLMENT!B13</f>
        <v>ALA CARTE &amp; MEAL SALES: SCHOOL TYPE #3</v>
      </c>
      <c r="C43" s="248" t="s">
        <v>78</v>
      </c>
      <c r="D43" s="262"/>
      <c r="E43" s="251" t="s">
        <v>50</v>
      </c>
      <c r="F43" s="197" t="s">
        <v>47</v>
      </c>
    </row>
    <row r="44" spans="2:6" ht="26.5" customHeight="1" x14ac:dyDescent="0.2">
      <c r="B44" s="169" t="s">
        <v>4</v>
      </c>
      <c r="C44" s="249">
        <f>'REIMBURSEMENTS AND REVENUES'!$C$9*
ROUND('PARTICIPATION RATES'!D$14*'PARTICIPATION RATES'!D$15,0)*
'REIMBURSEMENTS AND REVENUES'!$C$19</f>
        <v>0</v>
      </c>
      <c r="D44" s="198"/>
      <c r="E44" s="252">
        <f>'REIMBURSEMENTS AND REVENUES'!$C$9*
ROUND('PARTICIPATION RATES'!F$14*'PARTICIPATION RATES'!F$15,0)*
'REIMBURSEMENTS AND REVENUES'!$C$19</f>
        <v>0</v>
      </c>
      <c r="F44" s="199"/>
    </row>
    <row r="45" spans="2:6" ht="26.5" customHeight="1" x14ac:dyDescent="0.2">
      <c r="B45" s="169" t="s">
        <v>5</v>
      </c>
      <c r="C45" s="249">
        <f>'REIMBURSEMENTS AND REVENUES'!$C$17*
ROUND('PARTICIPATION RATES'!D$14*'PARTICIPATION RATES'!D$17,0)*
'REIMBURSEMENTS AND REVENUES'!$C$19</f>
        <v>0</v>
      </c>
      <c r="D45" s="198"/>
      <c r="E45" s="252">
        <f>'REIMBURSEMENTS AND REVENUES'!$C$17*
ROUND('PARTICIPATION RATES'!F$14*'PARTICIPATION RATES'!F$17,0)*
'REIMBURSEMENTS AND REVENUES'!$C$19</f>
        <v>0</v>
      </c>
      <c r="F45" s="199"/>
    </row>
    <row r="46" spans="2:6" ht="26.5" customHeight="1" x14ac:dyDescent="0.2">
      <c r="B46" s="169" t="s">
        <v>105</v>
      </c>
      <c r="C46" s="249">
        <f>'REIMBURSEMENTS AND REVENUES'!$H$9*
ROUND('PARTICIPATION RATES'!D$14*'PARTICIPATION RATES'!D$19,0)*
'REIMBURSEMENTS AND REVENUES'!$C$19</f>
        <v>0</v>
      </c>
      <c r="D46" s="198"/>
      <c r="E46" s="252">
        <f>'REIMBURSEMENTS AND REVENUES'!$H$9*
ROUND('PARTICIPATION RATES'!F$14*'PARTICIPATION RATES'!F$19,0)*
'REIMBURSEMENTS AND REVENUES'!$C$19</f>
        <v>0</v>
      </c>
      <c r="F46" s="199">
        <f>'REIMBURSEMENTS AND REVENUES'!$H$9*
ROUND('PARTICIPATION RATES'!G$14*'PARTICIPATION RATES'!G$19,0)*
'REIMBURSEMENTS AND REVENUES'!$C$19</f>
        <v>0</v>
      </c>
    </row>
    <row r="47" spans="2:6" ht="26.5" customHeight="1" x14ac:dyDescent="0.2">
      <c r="B47" s="247" t="str">
        <f>ENROLLMENT!B13&amp;" SALES TOTAL"</f>
        <v>SCHOOL TYPE #3 SALES TOTAL</v>
      </c>
      <c r="C47" s="250">
        <f>SUM(C44:C46)</f>
        <v>0</v>
      </c>
      <c r="D47" s="198"/>
      <c r="E47" s="253">
        <f>SUM(E44:E46)</f>
        <v>0</v>
      </c>
      <c r="F47" s="200">
        <f>SUM(F44:F46)</f>
        <v>0</v>
      </c>
    </row>
    <row r="48" spans="2:6" ht="8.25" customHeight="1" x14ac:dyDescent="0.2">
      <c r="C48" s="201"/>
      <c r="D48" s="201"/>
      <c r="E48" s="202"/>
      <c r="F48" s="202"/>
    </row>
    <row r="49" spans="2:6" ht="26.5" customHeight="1" x14ac:dyDescent="0.2">
      <c r="B49" s="246" t="str">
        <f>"ALA CARTE &amp; MEAL SALES: "&amp;ENROLLMENT!H13</f>
        <v>ALA CARTE &amp; MEAL SALES: SCHOOL TYPE #4</v>
      </c>
      <c r="C49" s="248" t="s">
        <v>78</v>
      </c>
      <c r="D49" s="262"/>
      <c r="E49" s="251" t="s">
        <v>50</v>
      </c>
      <c r="F49" s="197" t="s">
        <v>47</v>
      </c>
    </row>
    <row r="50" spans="2:6" ht="26.5" customHeight="1" x14ac:dyDescent="0.2">
      <c r="B50" s="169" t="s">
        <v>4</v>
      </c>
      <c r="C50" s="249">
        <f>'REIMBURSEMENTS AND REVENUES'!$C$9*
ROUND('PARTICIPATION RATES'!J$14*'PARTICIPATION RATES'!J$15,0)*
'REIMBURSEMENTS AND REVENUES'!$C$19</f>
        <v>0</v>
      </c>
      <c r="D50" s="198"/>
      <c r="E50" s="252">
        <f>'REIMBURSEMENTS AND REVENUES'!$C$9*
ROUND('PARTICIPATION RATES'!L$14*'PARTICIPATION RATES'!L$15,0)*
'REIMBURSEMENTS AND REVENUES'!$C$19</f>
        <v>0</v>
      </c>
      <c r="F50" s="199"/>
    </row>
    <row r="51" spans="2:6" ht="26.5" customHeight="1" x14ac:dyDescent="0.2">
      <c r="B51" s="169" t="s">
        <v>5</v>
      </c>
      <c r="C51" s="249">
        <f>'REIMBURSEMENTS AND REVENUES'!$C$17*
ROUND('PARTICIPATION RATES'!J$14*'PARTICIPATION RATES'!J$17,0)*
'REIMBURSEMENTS AND REVENUES'!$C$19</f>
        <v>0</v>
      </c>
      <c r="D51" s="198"/>
      <c r="E51" s="252">
        <f>'REIMBURSEMENTS AND REVENUES'!$C$17*
ROUND('PARTICIPATION RATES'!L$14*'PARTICIPATION RATES'!L$17,0)*
'REIMBURSEMENTS AND REVENUES'!$C$19</f>
        <v>0</v>
      </c>
      <c r="F51" s="199"/>
    </row>
    <row r="52" spans="2:6" ht="26.5" customHeight="1" x14ac:dyDescent="0.2">
      <c r="B52" s="169" t="s">
        <v>105</v>
      </c>
      <c r="C52" s="249">
        <f>'REIMBURSEMENTS AND REVENUES'!$H$9*
ROUND('PARTICIPATION RATES'!J$14*'PARTICIPATION RATES'!J$19,0)*
'REIMBURSEMENTS AND REVENUES'!$C$19</f>
        <v>0</v>
      </c>
      <c r="D52" s="198"/>
      <c r="E52" s="252">
        <f>'REIMBURSEMENTS AND REVENUES'!$H$9*
ROUND('PARTICIPATION RATES'!L$14*'PARTICIPATION RATES'!L$19,0)*
'REIMBURSEMENTS AND REVENUES'!$C$19</f>
        <v>0</v>
      </c>
      <c r="F52" s="199">
        <f>'REIMBURSEMENTS AND REVENUES'!$H$9*
ROUND('PARTICIPATION RATES'!M$14*'PARTICIPATION RATES'!M$19,0)*
'REIMBURSEMENTS AND REVENUES'!$C$19</f>
        <v>0</v>
      </c>
    </row>
    <row r="53" spans="2:6" ht="26.5" customHeight="1" x14ac:dyDescent="0.2">
      <c r="B53" s="247" t="str">
        <f>ENROLLMENT!H13&amp;" SALES TOTAL"</f>
        <v>SCHOOL TYPE #4 SALES TOTAL</v>
      </c>
      <c r="C53" s="250">
        <f>SUM('DETAILED COMPARATIVE P&amp;L'!C50:C52)</f>
        <v>0</v>
      </c>
      <c r="D53" s="198"/>
      <c r="E53" s="253">
        <f>SUM('DETAILED COMPARATIVE P&amp;L'!E50:E52)</f>
        <v>0</v>
      </c>
      <c r="F53" s="200">
        <f>SUM('DETAILED COMPARATIVE P&amp;L'!F50:F52)</f>
        <v>0</v>
      </c>
    </row>
    <row r="54" spans="2:6" ht="5" customHeight="1" x14ac:dyDescent="0.2">
      <c r="C54" s="201"/>
      <c r="D54" s="201"/>
      <c r="E54" s="202"/>
      <c r="F54" s="202"/>
    </row>
    <row r="55" spans="2:6" ht="26.5" customHeight="1" x14ac:dyDescent="0.2">
      <c r="B55" s="266" t="s">
        <v>49</v>
      </c>
      <c r="C55" s="267">
        <v>0</v>
      </c>
      <c r="D55" s="205"/>
      <c r="E55" s="203">
        <v>0</v>
      </c>
      <c r="F55" s="204">
        <v>0</v>
      </c>
    </row>
    <row r="56" spans="2:6" ht="5.5" customHeight="1" x14ac:dyDescent="0.2">
      <c r="B56" s="187"/>
      <c r="C56" s="205"/>
      <c r="D56" s="205"/>
      <c r="E56" s="205"/>
      <c r="F56" s="205"/>
    </row>
    <row r="57" spans="2:6" ht="22.75" customHeight="1" x14ac:dyDescent="0.2">
      <c r="B57" s="344" t="s">
        <v>158</v>
      </c>
      <c r="C57" s="345"/>
      <c r="D57" s="265"/>
      <c r="E57" s="257">
        <f>SUM(E7,E14,E21,E35,E41,E47,E53,E55)</f>
        <v>0</v>
      </c>
      <c r="F57" s="257">
        <f>SUM(F7,F14,F21,F35,F41,F47,F53,F55)</f>
        <v>0</v>
      </c>
    </row>
    <row r="58" spans="2:6" ht="26.5" customHeight="1" x14ac:dyDescent="0.2">
      <c r="B58" s="193" t="s">
        <v>38</v>
      </c>
      <c r="C58" s="256">
        <f>SUM(C7,C14,C21,C35,C41,C47,C53,C55)</f>
        <v>0</v>
      </c>
      <c r="D58" s="263"/>
      <c r="E58" s="346">
        <f>SUM(E57:F57)</f>
        <v>0</v>
      </c>
      <c r="F58" s="347"/>
    </row>
    <row r="59" spans="2:6" ht="47.75" customHeight="1" x14ac:dyDescent="0.2">
      <c r="C59" s="201"/>
      <c r="D59" s="201"/>
      <c r="E59" s="202"/>
      <c r="F59" s="202"/>
    </row>
    <row r="60" spans="2:6" ht="26.5" customHeight="1" x14ac:dyDescent="0.2">
      <c r="B60" s="108" t="s">
        <v>45</v>
      </c>
      <c r="C60" s="206" t="s">
        <v>98</v>
      </c>
      <c r="D60" s="202"/>
      <c r="E60" s="340" t="s">
        <v>99</v>
      </c>
      <c r="F60" s="341"/>
    </row>
    <row r="61" spans="2:6" ht="26.5" customHeight="1" x14ac:dyDescent="0.2">
      <c r="B61" s="246" t="s">
        <v>116</v>
      </c>
      <c r="C61" s="248" t="s">
        <v>78</v>
      </c>
      <c r="D61" s="262"/>
      <c r="E61" s="251" t="s">
        <v>50</v>
      </c>
      <c r="F61" s="197" t="s">
        <v>47</v>
      </c>
    </row>
    <row r="62" spans="2:6" ht="26.5" customHeight="1" x14ac:dyDescent="0.2">
      <c r="B62" s="169" t="str">
        <f>ENROLLMENT!B2</f>
        <v>SCHOOL TYPE #1</v>
      </c>
      <c r="C62" s="249">
        <f>'FOOD &amp; MATERIALS EXPENSE'!H13</f>
        <v>0</v>
      </c>
      <c r="D62" s="198"/>
      <c r="E62" s="252">
        <f>'FOOD &amp; MATERIALS EXPENSE'!J13</f>
        <v>0</v>
      </c>
      <c r="F62" s="199">
        <f>'FOOD &amp; MATERIALS EXPENSE'!K13</f>
        <v>0</v>
      </c>
    </row>
    <row r="63" spans="2:6" ht="26.5" customHeight="1" x14ac:dyDescent="0.2">
      <c r="B63" s="169" t="str">
        <f>ENROLLMENT!H2</f>
        <v>SCHOOL TYPE #2</v>
      </c>
      <c r="C63" s="249">
        <f>'FOOD &amp; MATERIALS EXPENSE'!H14</f>
        <v>0</v>
      </c>
      <c r="D63" s="198"/>
      <c r="E63" s="252">
        <f>'FOOD &amp; MATERIALS EXPENSE'!J14</f>
        <v>0</v>
      </c>
      <c r="F63" s="199">
        <f>'FOOD &amp; MATERIALS EXPENSE'!K14</f>
        <v>0</v>
      </c>
    </row>
    <row r="64" spans="2:6" ht="26.5" customHeight="1" x14ac:dyDescent="0.2">
      <c r="B64" s="169" t="str">
        <f>ENROLLMENT!B13</f>
        <v>SCHOOL TYPE #3</v>
      </c>
      <c r="C64" s="249">
        <f>'FOOD &amp; MATERIALS EXPENSE'!H15</f>
        <v>0</v>
      </c>
      <c r="D64" s="198"/>
      <c r="E64" s="252">
        <f>'FOOD &amp; MATERIALS EXPENSE'!J15</f>
        <v>0</v>
      </c>
      <c r="F64" s="199">
        <f>'FOOD &amp; MATERIALS EXPENSE'!K15</f>
        <v>0</v>
      </c>
    </row>
    <row r="65" spans="2:6" ht="26.5" customHeight="1" x14ac:dyDescent="0.2">
      <c r="B65" s="169" t="str">
        <f>ENROLLMENT!H13</f>
        <v>SCHOOL TYPE #4</v>
      </c>
      <c r="C65" s="249">
        <f>'FOOD &amp; MATERIALS EXPENSE'!H16</f>
        <v>0</v>
      </c>
      <c r="D65" s="198"/>
      <c r="E65" s="252">
        <f>'FOOD &amp; MATERIALS EXPENSE'!J16</f>
        <v>0</v>
      </c>
      <c r="F65" s="199">
        <f>'FOOD &amp; MATERIALS EXPENSE'!K16</f>
        <v>0</v>
      </c>
    </row>
    <row r="66" spans="2:6" ht="26.5" customHeight="1" x14ac:dyDescent="0.2">
      <c r="B66" s="247" t="s">
        <v>117</v>
      </c>
      <c r="C66" s="250">
        <f>SUM(C62:C64)</f>
        <v>0</v>
      </c>
      <c r="D66" s="198"/>
      <c r="E66" s="253">
        <f>SUM(E62:E64)</f>
        <v>0</v>
      </c>
      <c r="F66" s="200">
        <f>SUM(F62:F64)</f>
        <v>0</v>
      </c>
    </row>
    <row r="67" spans="2:6" ht="4.75" customHeight="1" x14ac:dyDescent="0.2">
      <c r="C67" s="201"/>
      <c r="D67" s="201"/>
      <c r="E67" s="202"/>
      <c r="F67" s="202"/>
    </row>
    <row r="68" spans="2:6" ht="26.5" customHeight="1" x14ac:dyDescent="0.2">
      <c r="B68" s="246" t="s">
        <v>118</v>
      </c>
      <c r="C68" s="248" t="s">
        <v>78</v>
      </c>
      <c r="D68" s="262"/>
      <c r="E68" s="251" t="s">
        <v>50</v>
      </c>
      <c r="F68" s="197" t="s">
        <v>47</v>
      </c>
    </row>
    <row r="69" spans="2:6" ht="26.5" customHeight="1" x14ac:dyDescent="0.2">
      <c r="B69" s="169" t="str">
        <f>ENROLLMENT!B2</f>
        <v>SCHOOL TYPE #1</v>
      </c>
      <c r="C69" s="249">
        <f>'DIRECT LABOR ASSUMPTIONS'!C10</f>
        <v>0</v>
      </c>
      <c r="D69" s="198"/>
      <c r="E69" s="252">
        <f>'DIRECT LABOR ASSUMPTIONS'!E10</f>
        <v>0</v>
      </c>
      <c r="F69" s="199">
        <f>'DIRECT LABOR ASSUMPTIONS'!F10</f>
        <v>0</v>
      </c>
    </row>
    <row r="70" spans="2:6" ht="26.5" customHeight="1" x14ac:dyDescent="0.2">
      <c r="B70" s="169" t="str">
        <f>ENROLLMENT!H2</f>
        <v>SCHOOL TYPE #2</v>
      </c>
      <c r="C70" s="249">
        <f>'DIRECT LABOR ASSUMPTIONS'!C19</f>
        <v>0</v>
      </c>
      <c r="D70" s="198"/>
      <c r="E70" s="252">
        <f>'DIRECT LABOR ASSUMPTIONS'!E19</f>
        <v>0</v>
      </c>
      <c r="F70" s="199">
        <f>'DIRECT LABOR ASSUMPTIONS'!F19</f>
        <v>0</v>
      </c>
    </row>
    <row r="71" spans="2:6" ht="26.5" customHeight="1" x14ac:dyDescent="0.2">
      <c r="B71" s="169" t="str">
        <f>ENROLLMENT!B13</f>
        <v>SCHOOL TYPE #3</v>
      </c>
      <c r="C71" s="249">
        <f>'DIRECT LABOR ASSUMPTIONS'!I10</f>
        <v>0</v>
      </c>
      <c r="D71" s="198"/>
      <c r="E71" s="252">
        <f>'DIRECT LABOR ASSUMPTIONS'!K10</f>
        <v>0</v>
      </c>
      <c r="F71" s="199">
        <f>'DIRECT LABOR ASSUMPTIONS'!L10</f>
        <v>0</v>
      </c>
    </row>
    <row r="72" spans="2:6" ht="26.5" customHeight="1" x14ac:dyDescent="0.2">
      <c r="B72" s="169" t="str">
        <f>ENROLLMENT!H13</f>
        <v>SCHOOL TYPE #4</v>
      </c>
      <c r="C72" s="249">
        <f>'DIRECT LABOR ASSUMPTIONS'!I19</f>
        <v>0</v>
      </c>
      <c r="D72" s="198"/>
      <c r="E72" s="252">
        <f>'DIRECT LABOR ASSUMPTIONS'!K19</f>
        <v>0</v>
      </c>
      <c r="F72" s="199">
        <f>'DIRECT LABOR ASSUMPTIONS'!L19</f>
        <v>0</v>
      </c>
    </row>
    <row r="73" spans="2:6" ht="26.5" customHeight="1" x14ac:dyDescent="0.2">
      <c r="B73" s="247" t="s">
        <v>119</v>
      </c>
      <c r="C73" s="250">
        <f>SUM(C69:C71)</f>
        <v>0</v>
      </c>
      <c r="D73" s="198"/>
      <c r="E73" s="253">
        <f>SUM(E69:E71)</f>
        <v>0</v>
      </c>
      <c r="F73" s="200">
        <f>SUM(F69:F71)</f>
        <v>0</v>
      </c>
    </row>
    <row r="74" spans="2:6" ht="4.75" customHeight="1" x14ac:dyDescent="0.2">
      <c r="C74" s="201"/>
      <c r="D74" s="201"/>
      <c r="E74" s="202"/>
      <c r="F74" s="202"/>
    </row>
    <row r="75" spans="2:6" ht="26.5" customHeight="1" x14ac:dyDescent="0.2">
      <c r="B75" s="191" t="s">
        <v>120</v>
      </c>
      <c r="C75" s="248" t="s">
        <v>78</v>
      </c>
      <c r="D75" s="262"/>
      <c r="E75" s="251" t="s">
        <v>50</v>
      </c>
      <c r="F75" s="197" t="s">
        <v>47</v>
      </c>
    </row>
    <row r="76" spans="2:6" ht="26.5" customHeight="1" x14ac:dyDescent="0.2">
      <c r="B76" s="65" t="str">
        <f>ENROLLMENT!B2</f>
        <v>SCHOOL TYPE #1</v>
      </c>
      <c r="C76" s="249">
        <f>'ADMIN LABOR ASSUMPTIONS'!C6</f>
        <v>0</v>
      </c>
      <c r="D76" s="198"/>
      <c r="E76" s="252">
        <f>'ADMIN LABOR ASSUMPTIONS'!E6</f>
        <v>0</v>
      </c>
      <c r="F76" s="199">
        <f>'ADMIN LABOR ASSUMPTIONS'!F6</f>
        <v>0</v>
      </c>
    </row>
    <row r="77" spans="2:6" ht="26.5" customHeight="1" x14ac:dyDescent="0.2">
      <c r="B77" s="65" t="str">
        <f>ENROLLMENT!H2</f>
        <v>SCHOOL TYPE #2</v>
      </c>
      <c r="C77" s="249">
        <f>'ADMIN LABOR ASSUMPTIONS'!C11</f>
        <v>0</v>
      </c>
      <c r="D77" s="198"/>
      <c r="E77" s="252">
        <f>'ADMIN LABOR ASSUMPTIONS'!E11</f>
        <v>0</v>
      </c>
      <c r="F77" s="199">
        <f>'ADMIN LABOR ASSUMPTIONS'!F11</f>
        <v>0</v>
      </c>
    </row>
    <row r="78" spans="2:6" ht="26.5" customHeight="1" x14ac:dyDescent="0.2">
      <c r="B78" s="65" t="str">
        <f>ENROLLMENT!B13</f>
        <v>SCHOOL TYPE #3</v>
      </c>
      <c r="C78" s="249">
        <f>'ADMIN LABOR ASSUMPTIONS'!C16</f>
        <v>0</v>
      </c>
      <c r="D78" s="198"/>
      <c r="E78" s="252">
        <f>'ADMIN LABOR ASSUMPTIONS'!E16</f>
        <v>0</v>
      </c>
      <c r="F78" s="199">
        <f>'ADMIN LABOR ASSUMPTIONS'!F16</f>
        <v>0</v>
      </c>
    </row>
    <row r="79" spans="2:6" ht="26.5" customHeight="1" x14ac:dyDescent="0.2">
      <c r="B79" s="65" t="str">
        <f>ENROLLMENT!H13</f>
        <v>SCHOOL TYPE #4</v>
      </c>
      <c r="C79" s="249">
        <f>'ADMIN LABOR ASSUMPTIONS'!C21</f>
        <v>0</v>
      </c>
      <c r="D79" s="198"/>
      <c r="E79" s="252">
        <f>'ADMIN LABOR ASSUMPTIONS'!E21</f>
        <v>0</v>
      </c>
      <c r="F79" s="199">
        <f>'ADMIN LABOR ASSUMPTIONS'!F21</f>
        <v>0</v>
      </c>
    </row>
    <row r="80" spans="2:6" ht="26.5" customHeight="1" x14ac:dyDescent="0.2">
      <c r="B80" s="65" t="s">
        <v>156</v>
      </c>
      <c r="C80" s="249">
        <f>'ADMIN LABOR ASSUMPTIONS'!C23</f>
        <v>0</v>
      </c>
      <c r="D80" s="198"/>
      <c r="E80" s="252">
        <f>'ADMIN LABOR ASSUMPTIONS'!E23</f>
        <v>0</v>
      </c>
      <c r="F80" s="199">
        <f>'ADMIN LABOR ASSUMPTIONS'!F23</f>
        <v>0</v>
      </c>
    </row>
    <row r="81" spans="2:13" ht="26.5" customHeight="1" x14ac:dyDescent="0.2">
      <c r="B81" s="283" t="s">
        <v>164</v>
      </c>
      <c r="C81" s="249">
        <f>SUM(C$76:C$80)*'ADMIN LABOR ASSUMPTIONS'!$C$25</f>
        <v>0</v>
      </c>
      <c r="D81" s="198"/>
      <c r="E81" s="252">
        <f>SUM(E$76:E$80)*'ADMIN LABOR ASSUMPTIONS'!$C$25</f>
        <v>0</v>
      </c>
      <c r="F81" s="199">
        <f>SUM(F$76:F$80)*'ADMIN LABOR ASSUMPTIONS'!$C$25</f>
        <v>0</v>
      </c>
    </row>
    <row r="82" spans="2:13" ht="26.5" customHeight="1" x14ac:dyDescent="0.2">
      <c r="B82" s="65" t="s">
        <v>157</v>
      </c>
      <c r="C82" s="249">
        <f>SUM(C$76:C$80)*'ADMIN LABOR ASSUMPTIONS'!$C$26</f>
        <v>0</v>
      </c>
      <c r="D82" s="198"/>
      <c r="E82" s="252">
        <f>SUM(E$76:E$80)*'ADMIN LABOR ASSUMPTIONS'!$C$26</f>
        <v>0</v>
      </c>
      <c r="F82" s="199">
        <f>SUM(F$76:F$80)*'ADMIN LABOR ASSUMPTIONS'!$C$26</f>
        <v>0</v>
      </c>
    </row>
    <row r="83" spans="2:13" ht="26.5" customHeight="1" x14ac:dyDescent="0.2">
      <c r="B83" s="192" t="s">
        <v>121</v>
      </c>
      <c r="C83" s="250">
        <f>SUM(C76:C82)</f>
        <v>0</v>
      </c>
      <c r="D83" s="198"/>
      <c r="E83" s="253">
        <f>SUM(E76:E82)</f>
        <v>0</v>
      </c>
      <c r="F83" s="200">
        <f>SUM(F76:F82)</f>
        <v>0</v>
      </c>
    </row>
    <row r="84" spans="2:13" ht="4.75" customHeight="1" x14ac:dyDescent="0.2">
      <c r="C84" s="201"/>
      <c r="D84" s="201"/>
      <c r="E84" s="202"/>
      <c r="F84" s="202"/>
    </row>
    <row r="85" spans="2:13" ht="26.5" customHeight="1" x14ac:dyDescent="0.2">
      <c r="B85" s="191" t="s">
        <v>109</v>
      </c>
      <c r="C85" s="248" t="s">
        <v>78</v>
      </c>
      <c r="D85" s="262"/>
      <c r="E85" s="251" t="s">
        <v>50</v>
      </c>
      <c r="F85" s="197" t="s">
        <v>47</v>
      </c>
    </row>
    <row r="86" spans="2:13" ht="26.5" customHeight="1" x14ac:dyDescent="0.2">
      <c r="B86" s="65" t="s">
        <v>110</v>
      </c>
      <c r="C86" s="254">
        <f>'OTHER EXPENSES'!C5</f>
        <v>0</v>
      </c>
      <c r="D86" s="207"/>
      <c r="E86" s="255">
        <f>'OTHER EXPENSES'!E5</f>
        <v>0</v>
      </c>
      <c r="F86" s="208">
        <f>'OTHER EXPENSES'!F5</f>
        <v>0</v>
      </c>
    </row>
    <row r="87" spans="2:13" ht="26.5" customHeight="1" x14ac:dyDescent="0.2">
      <c r="B87" s="65" t="s">
        <v>111</v>
      </c>
      <c r="C87" s="254">
        <f>'OTHER EXPENSES'!C6</f>
        <v>0</v>
      </c>
      <c r="D87" s="207"/>
      <c r="E87" s="255">
        <f>'OTHER EXPENSES'!E6</f>
        <v>0</v>
      </c>
      <c r="F87" s="208">
        <f>'OTHER EXPENSES'!F6</f>
        <v>0</v>
      </c>
    </row>
    <row r="88" spans="2:13" ht="26.5" customHeight="1" x14ac:dyDescent="0.2">
      <c r="B88" s="65" t="s">
        <v>161</v>
      </c>
      <c r="C88" s="254">
        <f>'OTHER EXPENSES'!C7</f>
        <v>0</v>
      </c>
      <c r="D88" s="207"/>
      <c r="E88" s="255">
        <f>'OTHER EXPENSES'!E7</f>
        <v>0</v>
      </c>
      <c r="F88" s="208">
        <f>'OTHER EXPENSES'!F7</f>
        <v>0</v>
      </c>
    </row>
    <row r="89" spans="2:13" ht="26.5" customHeight="1" x14ac:dyDescent="0.2">
      <c r="B89" s="65" t="s">
        <v>162</v>
      </c>
      <c r="C89" s="254">
        <f>'OTHER EXPENSES'!C8</f>
        <v>0</v>
      </c>
      <c r="D89" s="207"/>
      <c r="E89" s="255">
        <f>'OTHER EXPENSES'!E8</f>
        <v>0</v>
      </c>
      <c r="F89" s="208">
        <f>'OTHER EXPENSES'!F8</f>
        <v>0</v>
      </c>
    </row>
    <row r="90" spans="2:13" ht="26.5" customHeight="1" x14ac:dyDescent="0.2">
      <c r="B90" s="65" t="s">
        <v>160</v>
      </c>
      <c r="C90" s="254">
        <f>'OTHER EXPENSES'!C9</f>
        <v>0</v>
      </c>
      <c r="D90" s="207"/>
      <c r="E90" s="255">
        <f>'OTHER EXPENSES'!E9</f>
        <v>0</v>
      </c>
      <c r="F90" s="208">
        <f>'OTHER EXPENSES'!F9</f>
        <v>0</v>
      </c>
    </row>
    <row r="91" spans="2:13" ht="26.5" customHeight="1" x14ac:dyDescent="0.2">
      <c r="B91" s="65" t="s">
        <v>109</v>
      </c>
      <c r="C91" s="254">
        <f>SUM('OTHER EXPENSES'!C10:C13)</f>
        <v>0</v>
      </c>
      <c r="D91" s="207"/>
      <c r="E91" s="255">
        <f>SUM('OTHER EXPENSES'!E10:E13)</f>
        <v>0</v>
      </c>
      <c r="F91" s="208">
        <f>SUM('OTHER EXPENSES'!F10:F13)</f>
        <v>0</v>
      </c>
    </row>
    <row r="92" spans="2:13" ht="26.5" customHeight="1" x14ac:dyDescent="0.2">
      <c r="B92" s="192" t="s">
        <v>122</v>
      </c>
      <c r="C92" s="250">
        <f>SUM(C86:C91)</f>
        <v>0</v>
      </c>
      <c r="D92" s="198"/>
      <c r="E92" s="253">
        <f>SUM(E86:E91)</f>
        <v>0</v>
      </c>
      <c r="F92" s="200">
        <f>SUM(F86:F91)</f>
        <v>0</v>
      </c>
    </row>
    <row r="93" spans="2:13" ht="12" customHeight="1" x14ac:dyDescent="0.2">
      <c r="C93" s="201"/>
      <c r="D93" s="201"/>
      <c r="E93" s="202"/>
      <c r="F93" s="202"/>
    </row>
    <row r="94" spans="2:13" ht="26.5" customHeight="1" x14ac:dyDescent="0.2">
      <c r="B94" s="344" t="s">
        <v>158</v>
      </c>
      <c r="C94" s="345"/>
      <c r="D94" s="263">
        <f>SUM(D66,D73,D83,D92)</f>
        <v>0</v>
      </c>
      <c r="E94" s="260">
        <f>SUM(E66,E73,E83,E92)</f>
        <v>0</v>
      </c>
      <c r="F94" s="257">
        <f>SUM(F66,F73,F83,F92)</f>
        <v>0</v>
      </c>
      <c r="I94" s="333" t="s">
        <v>77</v>
      </c>
      <c r="J94" s="333"/>
      <c r="K94" s="333"/>
      <c r="L94" s="333"/>
      <c r="M94" s="333"/>
    </row>
    <row r="95" spans="2:13" ht="23.75" customHeight="1" x14ac:dyDescent="0.2">
      <c r="B95" s="258" t="s">
        <v>123</v>
      </c>
      <c r="C95" s="195">
        <f>SUM(C66,C73,C83,C92)</f>
        <v>0</v>
      </c>
      <c r="D95" s="201"/>
      <c r="E95" s="342">
        <f>SUM(E94:F94)</f>
        <v>0</v>
      </c>
      <c r="F95" s="343"/>
    </row>
    <row r="96" spans="2:13" ht="13" customHeight="1" x14ac:dyDescent="0.2"/>
    <row r="97" spans="2:13" ht="26.5" customHeight="1" x14ac:dyDescent="0.2">
      <c r="B97" s="344" t="s">
        <v>158</v>
      </c>
      <c r="C97" s="345"/>
      <c r="E97" s="261">
        <f>E57-E94</f>
        <v>0</v>
      </c>
      <c r="F97" s="259">
        <f>F57-F94</f>
        <v>0</v>
      </c>
      <c r="I97" s="329" t="s">
        <v>68</v>
      </c>
      <c r="J97" s="329"/>
      <c r="K97" s="329"/>
      <c r="L97" s="329"/>
      <c r="M97" s="329"/>
    </row>
    <row r="98" spans="2:13" ht="26.5" customHeight="1" x14ac:dyDescent="0.2">
      <c r="B98" s="194" t="s">
        <v>26</v>
      </c>
      <c r="C98" s="196">
        <f>C58-C95</f>
        <v>0</v>
      </c>
      <c r="D98" s="264">
        <f>D58-D94</f>
        <v>0</v>
      </c>
      <c r="E98" s="348">
        <f>SUM(E97:F97)</f>
        <v>0</v>
      </c>
      <c r="F98" s="349"/>
    </row>
    <row r="100" spans="2:13" ht="26.5" customHeight="1" x14ac:dyDescent="0.2">
      <c r="B100" s="17"/>
      <c r="C100" s="17"/>
    </row>
  </sheetData>
  <sheetProtection sheet="1" objects="1" scenarios="1"/>
  <mergeCells count="12">
    <mergeCell ref="B94:C94"/>
    <mergeCell ref="B97:C97"/>
    <mergeCell ref="B57:C57"/>
    <mergeCell ref="E58:F58"/>
    <mergeCell ref="E98:F98"/>
    <mergeCell ref="E1:F1"/>
    <mergeCell ref="I94:M94"/>
    <mergeCell ref="I97:M97"/>
    <mergeCell ref="E60:F60"/>
    <mergeCell ref="I2:M2"/>
    <mergeCell ref="I4:M4"/>
    <mergeCell ref="E95:F95"/>
  </mergeCells>
  <dataValidations count="1">
    <dataValidation type="decimal" allowBlank="1" showInputMessage="1" showErrorMessage="1" sqref="D55:F57 C55:C56" xr:uid="{5CB46C51-0B15-4BF4-921C-B2E9232C98DD}">
      <formula1>0</formula1>
      <formula2>100000000</formula2>
    </dataValidation>
  </dataValidations>
  <hyperlinks>
    <hyperlink ref="I2" location="'ADMIN LABOR ASSUMPTIONS'!D3" display="CLICK HERE TO RETURN TO THE PREVIOUS PAGE" xr:uid="{EB8B446F-74A2-472E-906E-1F59DDF512B2}"/>
    <hyperlink ref="I4" location="'DISTRICT ENROLLMENT'!A1" display="CLICK HERE TO ADVANCE TO THE NEXT PAGE" xr:uid="{09EFEC51-10B5-4020-AC61-1F49B6EE9AD1}"/>
    <hyperlink ref="I4:K4" location="'PARTICIPATION RATES'!C3" display="CLICK HERE TO ADVANCE TO THE NEXT PAGE" xr:uid="{FEFB545B-8D64-44C7-AFD5-75BEEF0C9D00}"/>
    <hyperlink ref="I4:L4" location="'ESTIMATED P+L'!B1" display="CLICK HERE TO ADVANCE TO THE NEXT PAGE" xr:uid="{43AE248E-763B-4AF1-BD5C-5BC97164A87D}"/>
    <hyperlink ref="I94" location="'ADMIN LABOR ASSUMPTIONS'!D3" display="CLICK HERE TO RETURN TO THE PREVIOUS PAGE" xr:uid="{A0959EA8-1AD2-4D14-9B61-6B7E0F957BE3}"/>
    <hyperlink ref="I97" location="'DISTRICT ENROLLMENT'!A1" display="CLICK HERE TO ADVANCE TO THE NEXT PAGE" xr:uid="{93B1904A-821C-47B6-9051-122A4FD59B6E}"/>
    <hyperlink ref="I97:K97" location="'PARTICIPATION RATES'!C3" display="CLICK HERE TO ADVANCE TO THE NEXT PAGE" xr:uid="{889F73FE-352B-4161-947F-FE4D46463712}"/>
    <hyperlink ref="I97:L97" location="'ESTIMATED P+L'!B1" display="CLICK HERE TO ADVANCE TO THE NEXT PAGE" xr:uid="{97EEAE62-216D-4B62-A108-99E09A3B070A}"/>
    <hyperlink ref="I94:M94" location="'OTHER EXPENSES'!C5" display="CLICK HERE TO RETURN TO THE PREVIOUS PAGE" xr:uid="{A20B20AD-4F1F-4BDA-A696-67622AF58F19}"/>
    <hyperlink ref="I2:M2" location="'OTHER EXPENSES'!C5" display="CLICK HERE TO RETURN TO THE PREVIOUS PAGE" xr:uid="{1B60D4F6-59E8-49C0-931D-B696DC68A426}"/>
    <hyperlink ref="I4:M4" location="CHARTS!C37" display="CLICK HERE TO ADVANCE TO THE NEXT PAGE" xr:uid="{FCB52526-8786-4CA5-9DF4-8A823CD2CB19}"/>
    <hyperlink ref="I97:M97" location="CHARTS!C37" display="CLICK HERE TO ADVANCE TO THE NEXT PAGE" xr:uid="{9C42A753-26B7-4B75-8956-D5565A9724C3}"/>
  </hyperlink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7CC58-0847-48A5-9FC2-B51DB6DE84D4}">
  <dimension ref="B2:X38"/>
  <sheetViews>
    <sheetView zoomScale="80" zoomScaleNormal="80" workbookViewId="0">
      <selection activeCell="C37" sqref="C37:G37"/>
    </sheetView>
  </sheetViews>
  <sheetFormatPr baseColWidth="10" defaultColWidth="8.83203125" defaultRowHeight="15" x14ac:dyDescent="0.2"/>
  <cols>
    <col min="1" max="1" width="8.83203125" style="188"/>
    <col min="2" max="2" width="8.83203125" style="189"/>
    <col min="3" max="3" width="13.83203125" style="188" customWidth="1"/>
    <col min="4" max="4" width="12" style="188" customWidth="1"/>
    <col min="5" max="16384" width="8.83203125" style="188"/>
  </cols>
  <sheetData>
    <row r="2" spans="2:4" x14ac:dyDescent="0.2">
      <c r="B2" s="190" t="s">
        <v>113</v>
      </c>
      <c r="C2" s="188" t="s">
        <v>114</v>
      </c>
      <c r="D2" s="188" t="s">
        <v>115</v>
      </c>
    </row>
    <row r="3" spans="2:4" x14ac:dyDescent="0.2">
      <c r="B3" s="189" t="str">
        <f>ENROLLMENT!B2</f>
        <v>SCHOOL TYPE #1</v>
      </c>
      <c r="C3" s="277">
        <f>'DETAILED COMPARATIVE P&amp;L'!$C$7+'DETAILED COMPARATIVE P&amp;L'!$C$35</f>
        <v>0</v>
      </c>
      <c r="D3" s="277">
        <f>SUM('DETAILED COMPARATIVE P&amp;L'!$E$7:$F$7,'DETAILED COMPARATIVE P&amp;L'!$E$35:$F$35)</f>
        <v>0</v>
      </c>
    </row>
    <row r="4" spans="2:4" x14ac:dyDescent="0.2">
      <c r="B4" s="189" t="str">
        <f>ENROLLMENT!H2</f>
        <v>SCHOOL TYPE #2</v>
      </c>
      <c r="C4" s="277">
        <f>'DETAILED COMPARATIVE P&amp;L'!$C$14+'DETAILED COMPARATIVE P&amp;L'!$C$41</f>
        <v>0</v>
      </c>
      <c r="D4" s="277">
        <f>SUM('DETAILED COMPARATIVE P&amp;L'!$E$14:$F$14,'DETAILED COMPARATIVE P&amp;L'!$E$41:$F$41)</f>
        <v>0</v>
      </c>
    </row>
    <row r="5" spans="2:4" x14ac:dyDescent="0.2">
      <c r="B5" s="189" t="str">
        <f>ENROLLMENT!B13</f>
        <v>SCHOOL TYPE #3</v>
      </c>
      <c r="C5" s="277">
        <f>'DETAILED COMPARATIVE P&amp;L'!$C$21+'DETAILED COMPARATIVE P&amp;L'!$C$47</f>
        <v>0</v>
      </c>
      <c r="D5" s="277">
        <f>SUM('DETAILED COMPARATIVE P&amp;L'!$E$21:$F$21,'DETAILED COMPARATIVE P&amp;L'!$E$47:$F$47)</f>
        <v>0</v>
      </c>
    </row>
    <row r="6" spans="2:4" x14ac:dyDescent="0.2">
      <c r="B6" s="189" t="str">
        <f>ENROLLMENT!H13</f>
        <v>SCHOOL TYPE #4</v>
      </c>
      <c r="C6" s="278">
        <f>'DETAILED COMPARATIVE P&amp;L'!C28+'DETAILED COMPARATIVE P&amp;L'!C53</f>
        <v>0</v>
      </c>
      <c r="D6" s="277">
        <f>SUM('DETAILED COMPARATIVE P&amp;L'!$E$28:$F$28,'DETAILED COMPARATIVE P&amp;L'!$E$53:$F$53)</f>
        <v>0</v>
      </c>
    </row>
    <row r="8" spans="2:4" x14ac:dyDescent="0.2">
      <c r="B8" s="189" t="s">
        <v>124</v>
      </c>
      <c r="C8" s="188" t="s">
        <v>114</v>
      </c>
      <c r="D8" s="188" t="s">
        <v>115</v>
      </c>
    </row>
    <row r="9" spans="2:4" x14ac:dyDescent="0.2">
      <c r="B9" s="189" t="s">
        <v>39</v>
      </c>
      <c r="C9" s="209">
        <f>'DETAILED COMPARATIVE P&amp;L'!C66</f>
        <v>0</v>
      </c>
      <c r="D9" s="209">
        <f>SUM('DETAILED COMPARATIVE P&amp;L'!E66:F66)</f>
        <v>0</v>
      </c>
    </row>
    <row r="10" spans="2:4" x14ac:dyDescent="0.2">
      <c r="B10" s="189" t="s">
        <v>118</v>
      </c>
      <c r="C10" s="209">
        <f>'DETAILED COMPARATIVE P&amp;L'!C73</f>
        <v>0</v>
      </c>
      <c r="D10" s="209">
        <f>SUM('DETAILED COMPARATIVE P&amp;L'!E73:F73)</f>
        <v>0</v>
      </c>
    </row>
    <row r="11" spans="2:4" x14ac:dyDescent="0.2">
      <c r="B11" s="189" t="s">
        <v>126</v>
      </c>
      <c r="C11" s="209">
        <f>'DETAILED COMPARATIVE P&amp;L'!C83</f>
        <v>0</v>
      </c>
      <c r="D11" s="209">
        <f>SUM('DETAILED COMPARATIVE P&amp;L'!E83:F83)</f>
        <v>0</v>
      </c>
    </row>
    <row r="12" spans="2:4" x14ac:dyDescent="0.2">
      <c r="B12" s="189" t="s">
        <v>125</v>
      </c>
      <c r="C12" s="209">
        <f>'DETAILED COMPARATIVE P&amp;L'!C92</f>
        <v>0</v>
      </c>
      <c r="D12" s="209">
        <f>SUM('DETAILED COMPARATIVE P&amp;L'!E92:F92)</f>
        <v>0</v>
      </c>
    </row>
    <row r="14" spans="2:4" x14ac:dyDescent="0.2">
      <c r="C14" s="188" t="s">
        <v>114</v>
      </c>
      <c r="D14" s="188" t="s">
        <v>115</v>
      </c>
    </row>
    <row r="15" spans="2:4" x14ac:dyDescent="0.2">
      <c r="B15" s="189" t="s">
        <v>26</v>
      </c>
      <c r="C15" s="209">
        <f>'DETAILED COMPARATIVE P&amp;L'!C98</f>
        <v>0</v>
      </c>
      <c r="D15" s="209">
        <f>SUM('DETAILED COMPARATIVE P&amp;L'!E97:F97)</f>
        <v>0</v>
      </c>
    </row>
    <row r="37" spans="3:24" ht="26.5" customHeight="1" x14ac:dyDescent="0.2">
      <c r="C37" s="333" t="s">
        <v>77</v>
      </c>
      <c r="D37" s="333"/>
      <c r="E37" s="333"/>
      <c r="F37" s="333"/>
      <c r="G37" s="333"/>
      <c r="T37" s="232"/>
      <c r="U37" s="232"/>
      <c r="V37" s="232"/>
      <c r="W37" s="232"/>
      <c r="X37" s="232"/>
    </row>
    <row r="38" spans="3:24" x14ac:dyDescent="0.2">
      <c r="C38" s="53"/>
      <c r="D38" s="53"/>
      <c r="E38" s="53"/>
      <c r="F38" s="53"/>
      <c r="G38" s="53"/>
    </row>
  </sheetData>
  <sheetProtection sheet="1" objects="1" scenarios="1" selectLockedCells="1"/>
  <mergeCells count="1">
    <mergeCell ref="C37:G37"/>
  </mergeCells>
  <hyperlinks>
    <hyperlink ref="C37" location="'ADMIN LABOR ASSUMPTIONS'!D3" display="CLICK HERE TO RETURN TO THE PREVIOUS PAGE" xr:uid="{AB71F097-1077-4B38-B52A-48B52F7B990C}"/>
    <hyperlink ref="C37:G37" location="'DETAILED COMPARATIVE P&amp;L'!B2" display="CLICK HERE TO RETURN TO THE PREVIOUS PAGE" xr:uid="{91145A72-6597-4547-B147-F13F12BDED56}"/>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78423-9845-499B-B4C4-3EF6C8511D7A}">
  <dimension ref="A1:B29"/>
  <sheetViews>
    <sheetView workbookViewId="0">
      <selection activeCell="B29" sqref="B29"/>
    </sheetView>
  </sheetViews>
  <sheetFormatPr baseColWidth="10" defaultColWidth="8.83203125" defaultRowHeight="15" x14ac:dyDescent="0.2"/>
  <cols>
    <col min="1" max="16384" width="8.83203125" style="141"/>
  </cols>
  <sheetData>
    <row r="1" spans="1:2" x14ac:dyDescent="0.2">
      <c r="A1" s="141">
        <v>1</v>
      </c>
      <c r="B1" s="141">
        <v>2</v>
      </c>
    </row>
    <row r="2" spans="1:2" x14ac:dyDescent="0.2">
      <c r="B2" s="141">
        <v>3</v>
      </c>
    </row>
    <row r="3" spans="1:2" x14ac:dyDescent="0.2">
      <c r="B3" s="141">
        <v>4</v>
      </c>
    </row>
    <row r="4" spans="1:2" x14ac:dyDescent="0.2">
      <c r="B4" s="141">
        <v>5</v>
      </c>
    </row>
    <row r="5" spans="1:2" x14ac:dyDescent="0.2">
      <c r="B5" s="141">
        <v>6</v>
      </c>
    </row>
    <row r="6" spans="1:2" x14ac:dyDescent="0.2">
      <c r="B6" s="141">
        <v>7</v>
      </c>
    </row>
    <row r="7" spans="1:2" x14ac:dyDescent="0.2">
      <c r="B7" s="141">
        <v>8</v>
      </c>
    </row>
    <row r="8" spans="1:2" x14ac:dyDescent="0.2">
      <c r="B8" s="141">
        <v>9</v>
      </c>
    </row>
    <row r="9" spans="1:2" x14ac:dyDescent="0.2">
      <c r="B9" s="141">
        <v>10</v>
      </c>
    </row>
    <row r="10" spans="1:2" x14ac:dyDescent="0.2">
      <c r="B10" s="141">
        <v>11</v>
      </c>
    </row>
    <row r="11" spans="1:2" x14ac:dyDescent="0.2">
      <c r="B11" s="141">
        <v>12</v>
      </c>
    </row>
    <row r="12" spans="1:2" x14ac:dyDescent="0.2">
      <c r="B12" s="141">
        <v>13</v>
      </c>
    </row>
    <row r="13" spans="1:2" x14ac:dyDescent="0.2">
      <c r="B13" s="141">
        <v>14</v>
      </c>
    </row>
    <row r="14" spans="1:2" x14ac:dyDescent="0.2">
      <c r="B14" s="141">
        <v>15</v>
      </c>
    </row>
    <row r="15" spans="1:2" x14ac:dyDescent="0.2">
      <c r="B15" s="141">
        <v>16</v>
      </c>
    </row>
    <row r="16" spans="1:2" x14ac:dyDescent="0.2">
      <c r="B16" s="141">
        <v>17</v>
      </c>
    </row>
    <row r="17" spans="2:2" x14ac:dyDescent="0.2">
      <c r="B17" s="141">
        <v>18</v>
      </c>
    </row>
    <row r="18" spans="2:2" x14ac:dyDescent="0.2">
      <c r="B18" s="141">
        <v>19</v>
      </c>
    </row>
    <row r="19" spans="2:2" x14ac:dyDescent="0.2">
      <c r="B19" s="141">
        <v>20</v>
      </c>
    </row>
    <row r="20" spans="2:2" x14ac:dyDescent="0.2">
      <c r="B20" s="141">
        <v>21</v>
      </c>
    </row>
    <row r="21" spans="2:2" x14ac:dyDescent="0.2">
      <c r="B21" s="141">
        <v>22</v>
      </c>
    </row>
    <row r="22" spans="2:2" x14ac:dyDescent="0.2">
      <c r="B22" s="141">
        <v>23</v>
      </c>
    </row>
    <row r="23" spans="2:2" x14ac:dyDescent="0.2">
      <c r="B23" s="141">
        <v>24</v>
      </c>
    </row>
    <row r="24" spans="2:2" x14ac:dyDescent="0.2">
      <c r="B24" s="141">
        <v>25</v>
      </c>
    </row>
    <row r="25" spans="2:2" x14ac:dyDescent="0.2">
      <c r="B25" s="141">
        <v>26</v>
      </c>
    </row>
    <row r="26" spans="2:2" x14ac:dyDescent="0.2">
      <c r="B26" s="141">
        <v>27</v>
      </c>
    </row>
    <row r="27" spans="2:2" x14ac:dyDescent="0.2">
      <c r="B27" s="141">
        <v>28</v>
      </c>
    </row>
    <row r="28" spans="2:2" x14ac:dyDescent="0.2">
      <c r="B28" s="141">
        <v>29</v>
      </c>
    </row>
    <row r="29" spans="2:2" x14ac:dyDescent="0.2">
      <c r="B29" s="141">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FEDERAL RATES (HIDDEN)</vt:lpstr>
      <vt:lpstr>REIMBURSEMENT RATE OLD</vt:lpstr>
      <vt:lpstr>LANDING PAGE</vt:lpstr>
      <vt:lpstr>INSTRUCTIONS</vt:lpstr>
      <vt:lpstr>REIMBURSEMENTS AND REVENUES</vt:lpstr>
      <vt:lpstr>test</vt:lpstr>
      <vt:lpstr>ENROLLMENT</vt:lpstr>
      <vt:lpstr>PARTICIPATION RATES</vt:lpstr>
      <vt:lpstr>FOOD &amp; MATERIALS EXPENSE</vt:lpstr>
      <vt:lpstr>ADMIN LABOR ASSUMPTIONS</vt:lpstr>
      <vt:lpstr>DIRECT LABOR ASSUMPTIONS</vt:lpstr>
      <vt:lpstr>MPLH COMPS</vt:lpstr>
      <vt:lpstr>OTHER EXPENSES</vt:lpstr>
      <vt:lpstr>DETAILED COMPARATIVE P&amp;L</vt:lpstr>
      <vt:lpstr>CHARTS</vt:lpstr>
      <vt:lpstr>LIST</vt:lpstr>
      <vt:lpstr>'PARTICIPATION RATES'!Print_Area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Richardson</dc:creator>
  <cp:lastModifiedBy>Allyson Perez</cp:lastModifiedBy>
  <dcterms:created xsi:type="dcterms:W3CDTF">2018-06-08T16:23:36Z</dcterms:created>
  <dcterms:modified xsi:type="dcterms:W3CDTF">2020-07-09T19:16:43Z</dcterms:modified>
</cp:coreProperties>
</file>